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5" yWindow="6015" windowWidth="15405" windowHeight="2655" tabRatio="959" firstSheet="1" activeTab="1"/>
  </bookViews>
  <sheets>
    <sheet name="АКЦИИ на металл" sheetId="639" state="hidden" r:id="rId1"/>
    <sheet name="5_1_ЗАБОРЫ" sheetId="136" r:id="rId2"/>
    <sheet name="5_2_Доборные эл-ты ограждений" sheetId="842" r:id="rId3"/>
    <sheet name="5_3_Панельные ограждения" sheetId="831" r:id="rId4"/>
    <sheet name="5_4_Эл-ты панельных ограждений" sheetId="832" r:id="rId5"/>
    <sheet name="5_5_Модульные ограждения GL" sheetId="833" r:id="rId6"/>
    <sheet name="5_6_Временные огр и Рулон сетка" sheetId="834" r:id="rId7"/>
    <sheet name="5_7_Откат. ворота" sheetId="835" r:id="rId8"/>
    <sheet name="5_8_Распашные ворота и калитки" sheetId="836" r:id="rId9"/>
    <sheet name="5_9_Эл-ты ограждений Locinox" sheetId="788" r:id="rId10"/>
    <sheet name="7_3_Таблички и Флюгеры" sheetId="809" r:id="rId11"/>
    <sheet name="8_УПАКОВКА" sheetId="791" r:id="rId12"/>
    <sheet name="Цены" sheetId="174" state="veryHidden" r:id="rId13"/>
  </sheets>
  <definedNames>
    <definedName name="B_UpakFalz">0</definedName>
    <definedName name="B_UpakMS">0</definedName>
    <definedName name="Belarus">1</definedName>
    <definedName name="Belarusclplus">0</definedName>
    <definedName name="Belaruskv">0</definedName>
    <definedName name="BelarusUno">0</definedName>
    <definedName name="Classic_Atl">Цены!$V$8</definedName>
    <definedName name="Classic_dachPr">Цены!$AX$8</definedName>
    <definedName name="Classic_dachPr_k">Цены!$BB$8</definedName>
    <definedName name="Classic_dachPr_tw">Цены!$BD$8</definedName>
    <definedName name="Classic_dachSk">Цены!$AZ$8</definedName>
    <definedName name="Classic_Dr">Цены!$AH$8</definedName>
    <definedName name="Classic_Pe04">Цены!$AT$8</definedName>
    <definedName name="Classic_Pe045">Цены!$AR$8</definedName>
    <definedName name="Classic_Pe07">Цены!$AP$8</definedName>
    <definedName name="Classic_Pe08">Цены!$AN$8</definedName>
    <definedName name="Classic_PEdp">Цены!$AL$8</definedName>
    <definedName name="Classic_PeMatt04">Цены!$AV$8</definedName>
    <definedName name="Classic_Pt">Цены!$F$8</definedName>
    <definedName name="Classic_Ptdp">Цены!$D$8</definedName>
    <definedName name="Classic_PtRF">Цены!$L$8</definedName>
    <definedName name="Classic_Pur">Цены!$Z$8</definedName>
    <definedName name="Classic_PurLiteMatt">Цены!$AB$8</definedName>
    <definedName name="Classic_PurMatt">Цены!$X$8</definedName>
    <definedName name="Classic_Q">Цены!$P$8</definedName>
    <definedName name="Classic_Ql">Цены!$R$8</definedName>
    <definedName name="Classic_QproMatt">Цены!$N$8</definedName>
    <definedName name="Classic_Sat">Цены!$AJ$8</definedName>
    <definedName name="Classic_SatMatt">Цены!$AF$8</definedName>
    <definedName name="Classic_Sf">Цены!$H$8</definedName>
    <definedName name="Classic_Sf_a">Цены!$J$8</definedName>
    <definedName name="Classic_StBarhat">Цены!$AD$8</definedName>
    <definedName name="Classic_Vel">Цены!$T$8</definedName>
    <definedName name="Falz2_Atl">Цены!$V$12</definedName>
    <definedName name="Falz2_dachPr">Цены!$AX$12</definedName>
    <definedName name="Falz2_dachPr_k">Цены!$BB$12</definedName>
    <definedName name="Falz2_dachPr_tw">Цены!$BD$12</definedName>
    <definedName name="Falz2_dachSk">Цены!$AZ$12</definedName>
    <definedName name="Falz2_Dr">Цены!$AH$12</definedName>
    <definedName name="Falz2_Pe04">Цены!$AT$12</definedName>
    <definedName name="Falz2_Pe045">Цены!$AR$12</definedName>
    <definedName name="Falz2_Pe07">Цены!$AP$12</definedName>
    <definedName name="Falz2_Pe08">Цены!$AN$12</definedName>
    <definedName name="Falz2_PEdp">Цены!$AL$12</definedName>
    <definedName name="Falz2_PeMatt04">Цены!$AV$12</definedName>
    <definedName name="Falz2_Pt">Цены!$F$12</definedName>
    <definedName name="Falz2_Ptdp">Цены!$D$12</definedName>
    <definedName name="Falz2_Pur">Цены!$Z$12</definedName>
    <definedName name="Falz2_PurLiteMatt">Цены!$AB$12</definedName>
    <definedName name="Falz2_PurMatt">Цены!$X$12</definedName>
    <definedName name="Falz2_Q">Цены!$P$12</definedName>
    <definedName name="Falz2_Ql">Цены!$R$12</definedName>
    <definedName name="Falz2_QproMatt">Цены!$N$12</definedName>
    <definedName name="Falz2_Sat">Цены!$AJ$12</definedName>
    <definedName name="Falz2_SatMatt">Цены!$AF$12</definedName>
    <definedName name="Falz2_Sf">Цены!$H$12</definedName>
    <definedName name="Falz2_Sf_a">Цены!$J$12</definedName>
    <definedName name="Falz2_StBarhat">Цены!$AD$12</definedName>
    <definedName name="Falz2_Vel">Цены!$T$12</definedName>
    <definedName name="Falz2_Zn035">Цены!$BF$12</definedName>
    <definedName name="Falz2_Zn04">Цены!$BH$12</definedName>
    <definedName name="Falz2_Zn045">Цены!$BJ$12</definedName>
    <definedName name="Falz2_Zn05">Цены!$BL$12</definedName>
    <definedName name="Falz2_Zn055">Цены!$BN$12</definedName>
    <definedName name="Falz2_Zn07">Цены!$BP$12</definedName>
    <definedName name="Falz2_Zn08">Цены!$BR$12</definedName>
    <definedName name="Falz2_Zn09">Цены!$BT$12</definedName>
    <definedName name="Kamea_Atl">Цены!$V$6</definedName>
    <definedName name="Kamea_dachPr">Цены!$AX$6</definedName>
    <definedName name="Kamea_dachPr_k">Цены!$BB$6</definedName>
    <definedName name="Kamea_dachPr_tw">Цены!$BD$6</definedName>
    <definedName name="Kamea_dachSk">Цены!$AZ$6</definedName>
    <definedName name="Kamea_Dr">Цены!$AH$6</definedName>
    <definedName name="Kamea_Pe04">Цены!$AT$6</definedName>
    <definedName name="Kamea_Pe045">Цены!$AR$6</definedName>
    <definedName name="Kamea_Pe07">Цены!$AP$6</definedName>
    <definedName name="Kamea_Pe08">Цены!$AN$6</definedName>
    <definedName name="Kamea_PEdp">Цены!$AL$6</definedName>
    <definedName name="Kamea_PeMatt04">Цены!$AV$6</definedName>
    <definedName name="Kamea_Pt">Цены!$F$6</definedName>
    <definedName name="Kamea_Ptdp">Цены!$D$6</definedName>
    <definedName name="Kamea_Pur">Цены!$Z$6</definedName>
    <definedName name="Kamea_PurLiteMatt">Цены!$AB$6</definedName>
    <definedName name="Kamea_PurMatt">Цены!$X$6</definedName>
    <definedName name="Kamea_Q">Цены!$P$6</definedName>
    <definedName name="Kamea_Ql">Цены!$R$6</definedName>
    <definedName name="Kamea_QproMatt">Цены!$N$6</definedName>
    <definedName name="Kamea_Sat">Цены!$AJ$6</definedName>
    <definedName name="Kamea_SatMatt">Цены!$AF$6</definedName>
    <definedName name="Kamea_Sf">Цены!$H$6</definedName>
    <definedName name="Kamea_Sf_a">Цены!$J$6</definedName>
    <definedName name="Kamea_StBarhat">Цены!$AD$6</definedName>
    <definedName name="Kamea_Vel">Цены!$T$6</definedName>
    <definedName name="Klik_Atl">Цены!$V$14</definedName>
    <definedName name="Klik_dachPr">Цены!$AX$14</definedName>
    <definedName name="Klik_dachPr_k">Цены!$BB$14</definedName>
    <definedName name="Klik_dachPr_tw">Цены!$BD$14</definedName>
    <definedName name="Klik_dachSk">Цены!$AZ$14</definedName>
    <definedName name="Klik_Dr">Цены!$AH$14</definedName>
    <definedName name="Klik_mini_Atl">Цены!$V$15</definedName>
    <definedName name="Klik_mini_dachPr">Цены!$AX$15</definedName>
    <definedName name="Klik_mini_dachPr_k">Цены!$BB$15</definedName>
    <definedName name="Klik_mini_dachPr_tw">Цены!$BD$15</definedName>
    <definedName name="Klik_mini_dachSk">Цены!$AZ$15</definedName>
    <definedName name="Klik_mini_Dr">Цены!$AH$15</definedName>
    <definedName name="Klik_mini_Pe04">Цены!$AT$15</definedName>
    <definedName name="Klik_mini_Pe045">Цены!$AR$15</definedName>
    <definedName name="Klik_mini_Pe07">Цены!$AP$15</definedName>
    <definedName name="Klik_mini_Pe08">Цены!$AN$15</definedName>
    <definedName name="Klik_mini_PEdp">Цены!$AL$15</definedName>
    <definedName name="Klik_mini_PeMatt04">Цены!$AV$15</definedName>
    <definedName name="Klik_mini_Pt">Цены!$F$15</definedName>
    <definedName name="Klik_mini_Ptdp">Цены!$D$15</definedName>
    <definedName name="Klik_mini_Pur">Цены!$Z$15</definedName>
    <definedName name="Klik_mini_PurLiteMatt">Цены!$AB$15</definedName>
    <definedName name="Klik_mini_PurMatt">Цены!$X$15</definedName>
    <definedName name="Klik_mini_Q">Цены!$P$15</definedName>
    <definedName name="Klik_mini_Ql">Цены!$R$15</definedName>
    <definedName name="Klik_mini_QproMatt">Цены!$N$15</definedName>
    <definedName name="Klik_mini_Sat">Цены!$AJ$15</definedName>
    <definedName name="Klik_mini_SatMatt">Цены!$AF$15</definedName>
    <definedName name="Klik_mini_Sf">Цены!$H$15</definedName>
    <definedName name="Klik_mini_Sf_a">Цены!$J$15</definedName>
    <definedName name="Klik_mini_StBarhat">Цены!$AD$15</definedName>
    <definedName name="Klik_mini_Vel">Цены!$T$15</definedName>
    <definedName name="Klik_mini_Zn035">Цены!$BF$15</definedName>
    <definedName name="Klik_mini_Zn04">Цены!$BH$15</definedName>
    <definedName name="Klik_mini_Zn045">Цены!$BJ$15</definedName>
    <definedName name="Klik_mini_Zn05">Цены!$BL$15</definedName>
    <definedName name="Klik_mini_Zn055">Цены!$BN$15</definedName>
    <definedName name="Klik_mini_Zn07">Цены!$BP$15</definedName>
    <definedName name="Klik_mini_Zn08">Цены!$BR$15</definedName>
    <definedName name="Klik_mini_Zn09">Цены!$BT$15</definedName>
    <definedName name="Klik_Pe04">Цены!$AT$14</definedName>
    <definedName name="Klik_Pe045">Цены!$AR$14</definedName>
    <definedName name="Klik_Pe07">Цены!$AP$14</definedName>
    <definedName name="Klik_Pe08">Цены!$AN$14</definedName>
    <definedName name="Klik_PEdp">Цены!$AL$14</definedName>
    <definedName name="Klik_PeMatt04">Цены!$AV$14</definedName>
    <definedName name="Klik_Pt">Цены!$F$14</definedName>
    <definedName name="Klik_Ptdp">Цены!$D$14</definedName>
    <definedName name="Klik_Pur">Цены!$Z$14</definedName>
    <definedName name="Klik_PurLiteMatt">Цены!$AB$14</definedName>
    <definedName name="Klik_PurMatt">Цены!$X$14</definedName>
    <definedName name="Klik_Q">Цены!$P$14</definedName>
    <definedName name="Klik_Ql">Цены!$R$14</definedName>
    <definedName name="Klik_QproMatt">Цены!$N$14</definedName>
    <definedName name="Klik_Sat">Цены!$AJ$14</definedName>
    <definedName name="Klik_SatMatt">Цены!$AF$14</definedName>
    <definedName name="Klik_Sf">Цены!$H$14</definedName>
    <definedName name="Klik_Sf_a">Цены!$J$14</definedName>
    <definedName name="Klik_StBarhat">Цены!$AD$14</definedName>
    <definedName name="Klik_Vel">Цены!$T$14</definedName>
    <definedName name="Klik_Zn035">Цены!$BF$14</definedName>
    <definedName name="Klik_Zn04">Цены!$BH$14</definedName>
    <definedName name="Klik_Zn045">Цены!$BJ$14</definedName>
    <definedName name="Klik_Zn05">Цены!$BL$14</definedName>
    <definedName name="Klik_Zn055">Цены!$BN$14</definedName>
    <definedName name="Klik_Zn07">Цены!$BP$14</definedName>
    <definedName name="Klik_Zn08">Цены!$BR$14</definedName>
    <definedName name="Klik_Zn09">Цены!$BT$14</definedName>
    <definedName name="KlikPro_Atl">Цены!$V$13</definedName>
    <definedName name="KlikPro_Dr">Цены!$AH$13</definedName>
    <definedName name="KlikPro_Pe045">Цены!$AR$13</definedName>
    <definedName name="KlikPro_Pt">Цены!$F$13</definedName>
    <definedName name="KlikPro_Ptdp">Цены!$D$13</definedName>
    <definedName name="KlikPro_Pur">Цены!$Z$13</definedName>
    <definedName name="KlikPro_PurLiteMatt">Цены!$AB$13</definedName>
    <definedName name="KlikPro_PurMatt">Цены!$X$13</definedName>
    <definedName name="KlikPro_Q">Цены!$P$13</definedName>
    <definedName name="KlikPro_Ql">Цены!$R$13</definedName>
    <definedName name="KlikPro_QproMatt">Цены!$N$13</definedName>
    <definedName name="KlikPro_Sat">Цены!$AJ$13</definedName>
    <definedName name="KlikPro_SatMatt">Цены!$AF$13</definedName>
    <definedName name="KlikPro_Sf">Цены!$H$13</definedName>
    <definedName name="KlikPro_Sf_a">Цены!$J$13</definedName>
    <definedName name="KlikPro_StBarhat">Цены!$AD$13</definedName>
    <definedName name="KlikPro_Vel">Цены!$T$13</definedName>
    <definedName name="KlikPro_Zn045">Цены!$BJ$13</definedName>
    <definedName name="KlikPro_Zn05">Цены!$BL$13</definedName>
    <definedName name="KlikPro_Zn055">Цены!$BN$13</definedName>
    <definedName name="Kredo_Atl">Цены!$V$7</definedName>
    <definedName name="Kredo_dachPr">Цены!$AX$7</definedName>
    <definedName name="Kredo_dachPr_k">Цены!$BB$7</definedName>
    <definedName name="Kredo_dachPr_tw">Цены!$BD$7</definedName>
    <definedName name="Kredo_dachSk">Цены!$AZ$7</definedName>
    <definedName name="Kredo_Dr">Цены!$AH$7</definedName>
    <definedName name="Kredo_Pe04">Цены!$AT$7</definedName>
    <definedName name="Kredo_Pe045">Цены!$AR$7</definedName>
    <definedName name="Kredo_Pe07">Цены!$AP$7</definedName>
    <definedName name="Kredo_Pe08">Цены!$AN$7</definedName>
    <definedName name="Kredo_PEdp">Цены!$AL$7</definedName>
    <definedName name="Kredo_PeMatt04">Цены!$AV$7</definedName>
    <definedName name="Kredo_Pt">Цены!$F$7</definedName>
    <definedName name="Kredo_Ptdp">Цены!$D$7</definedName>
    <definedName name="Kredo_Pur">Цены!$Z$7</definedName>
    <definedName name="Kredo_PurLiteMatt">Цены!$AB$7</definedName>
    <definedName name="Kredo_PurMatt">Цены!$X$7</definedName>
    <definedName name="Kredo_Q">Цены!$P$7</definedName>
    <definedName name="Kredo_Ql">Цены!$R$7</definedName>
    <definedName name="Kredo_QproMatt">Цены!$N$7</definedName>
    <definedName name="Kredo_Sat">Цены!$AJ$7</definedName>
    <definedName name="Kredo_SatMatt">Цены!$AF$7</definedName>
    <definedName name="Kredo_Sf">Цены!$H$7</definedName>
    <definedName name="Kredo_Sf_a">Цены!$J$7</definedName>
    <definedName name="Kredo_StBarhat">Цены!$AD$7</definedName>
    <definedName name="Kredo_Vel">Цены!$T$7</definedName>
    <definedName name="KvintaPl_Atl">Цены!$V$4</definedName>
    <definedName name="KvintaPl_dachPr">Цены!$AX$4</definedName>
    <definedName name="KvintaPl_dachPr_k">Цены!$BB$4</definedName>
    <definedName name="KvintaPl_dachPr_tw">Цены!$BD$4</definedName>
    <definedName name="KvintaPl_dachSk">Цены!$AZ$4</definedName>
    <definedName name="KvintaPl_Dr">Цены!$AH$4</definedName>
    <definedName name="KvintaPl_Pe04">Цены!$AT$4</definedName>
    <definedName name="KvintaPl_Pe045">Цены!$AR$4</definedName>
    <definedName name="KvintaPl_Pe07">Цены!$AP$4</definedName>
    <definedName name="KvintaPl_Pe08">Цены!$AN$4</definedName>
    <definedName name="KvintaPl_PEdp">Цены!$AL$4</definedName>
    <definedName name="KvintaPl_PeMatt04">Цены!$AV$4</definedName>
    <definedName name="KvintaPl_Pt">Цены!$F$4</definedName>
    <definedName name="KvintaPl_Ptdp">Цены!$D$4</definedName>
    <definedName name="KvintaPl_Pur">Цены!$Z$4</definedName>
    <definedName name="KvintaPl_PurLiteMatt">Цены!$AB$4</definedName>
    <definedName name="KvintaPl_PurMatt">Цены!$X$4</definedName>
    <definedName name="KvintaPl_Q">Цены!$P$4</definedName>
    <definedName name="KvintaPl_Ql">Цены!$R$4</definedName>
    <definedName name="KvintaPl_QproMatt">Цены!$N$4</definedName>
    <definedName name="KvintaPl_Sat">Цены!$AJ$4</definedName>
    <definedName name="KvintaPl_SatMatt">Цены!$AF$4</definedName>
    <definedName name="KvintaPl_Sf">Цены!$H$4</definedName>
    <definedName name="KvintaPl_Sf_a">Цены!$J$4</definedName>
    <definedName name="KvintaPl_StBarhat">Цены!$AD$4</definedName>
    <definedName name="KvintaPl_Vel">Цены!$T$4</definedName>
    <definedName name="KvintaUno_Atl">Цены!$V$5</definedName>
    <definedName name="KvintaUno_Dr">Цены!$AH$5</definedName>
    <definedName name="KvintaUno_Pe045">Цены!$AR$5</definedName>
    <definedName name="KvintaUno_PeMatt04">Цены!$AV$5</definedName>
    <definedName name="KvintaUno_Pt">Цены!$F$5</definedName>
    <definedName name="KvintaUno_Ptdp">Цены!$D$5</definedName>
    <definedName name="KvintaUno_Pur">Цены!$Z$5</definedName>
    <definedName name="KvintaUno_PurLiteMatt">Цены!$AB$5</definedName>
    <definedName name="KvintaUno_PurMatt">Цены!$X$5</definedName>
    <definedName name="KvintaUno_Q">Цены!$P$5</definedName>
    <definedName name="KvintaUno_Ql">Цены!$R$5</definedName>
    <definedName name="KvintaUno_QproMatt">Цены!$N$5</definedName>
    <definedName name="KvintaUno_Sat">Цены!$AJ$5</definedName>
    <definedName name="KvintaUno_SatMatt">Цены!$AF$5</definedName>
    <definedName name="KvintaUno_Sf">Цены!$H$5</definedName>
    <definedName name="KvintaUno_Sf_a">Цены!$J$5</definedName>
    <definedName name="KvintaUno_StBarhat">Цены!$AD$5</definedName>
    <definedName name="KvintaUno_Vel">Цены!$T$5</definedName>
    <definedName name="List_Atl">Цены!$V$27</definedName>
    <definedName name="List_dachPr">Цены!$AX$27</definedName>
    <definedName name="List_dachPr_k">Цены!$BB$27</definedName>
    <definedName name="List_dachPr_tw">Цены!$BD$27</definedName>
    <definedName name="List_dachSk">Цены!$AZ$27</definedName>
    <definedName name="List_Dr">Цены!$AH$27</definedName>
    <definedName name="List_Pe04">Цены!$AT$27</definedName>
    <definedName name="List_Pe045">Цены!$AR$27</definedName>
    <definedName name="List_Pe07">Цены!$AP$27</definedName>
    <definedName name="List_Pe08">Цены!$AN$27</definedName>
    <definedName name="List_PEdp">Цены!$AL$27</definedName>
    <definedName name="List_PeMatt04">Цены!$AV$27</definedName>
    <definedName name="List_Pt">Цены!$F$27</definedName>
    <definedName name="List_Ptdp">Цены!$D$27</definedName>
    <definedName name="List_PtRF">Цены!$L$27</definedName>
    <definedName name="List_Pur">Цены!$Z$27</definedName>
    <definedName name="List_PurLiteMatt">Цены!$AB$27</definedName>
    <definedName name="List_PurMatt">Цены!$X$27</definedName>
    <definedName name="List_Q">Цены!$P$27</definedName>
    <definedName name="List_Ql">Цены!$R$27</definedName>
    <definedName name="List_QproMatt">Цены!$N$27</definedName>
    <definedName name="List_Sat">Цены!$AJ$27</definedName>
    <definedName name="List_SatMatt">Цены!$AF$27</definedName>
    <definedName name="List_Sf">Цены!$H$27</definedName>
    <definedName name="List_Sf_a">Цены!$J$27</definedName>
    <definedName name="List_StBarhat">Цены!$AD$27</definedName>
    <definedName name="List_Vel">Цены!$T$27</definedName>
    <definedName name="List_Zn035">Цены!$BF$27</definedName>
    <definedName name="List_Zn04">Цены!$BH$27</definedName>
    <definedName name="List_Zn045">Цены!$BJ$27</definedName>
    <definedName name="List_Zn05">Цены!$BL$27</definedName>
    <definedName name="List_Zn055">Цены!$BN$27</definedName>
    <definedName name="List_Zn07">Цены!$BP$27</definedName>
    <definedName name="List_Zn08">Цены!$BR$27</definedName>
    <definedName name="List_Zn09">Цены!$BT$27</definedName>
    <definedName name="Modern_Atl">Цены!$V$9</definedName>
    <definedName name="Modern_dachPr">Цены!$AX$9</definedName>
    <definedName name="Modern_dachPr_k">Цены!$BB$9</definedName>
    <definedName name="Modern_dachPr_tw">Цены!$BD$9</definedName>
    <definedName name="Modern_dachSk">Цены!$AZ$9</definedName>
    <definedName name="Modern_Dr">Цены!$AH$9</definedName>
    <definedName name="Modern_Pe04">Цены!$AT$9</definedName>
    <definedName name="Modern_Pe045">Цены!$AR$9</definedName>
    <definedName name="Modern_Pe07">Цены!$AP$9</definedName>
    <definedName name="Modern_Pe08">Цены!$AN$9</definedName>
    <definedName name="Modern_PEdp">Цены!$AL$9</definedName>
    <definedName name="Modern_PeMatt04">Цены!$AV$9</definedName>
    <definedName name="Modern_Pt">Цены!$F$9</definedName>
    <definedName name="Modern_Ptdp">Цены!$D$9</definedName>
    <definedName name="Modern_Pur">Цены!$Z$9</definedName>
    <definedName name="Modern_PurLiteMatt">Цены!$AB$9</definedName>
    <definedName name="Modern_PurMatt">Цены!$X$9</definedName>
    <definedName name="Modern_Q">Цены!$P$9</definedName>
    <definedName name="Modern_Ql">Цены!$R$9</definedName>
    <definedName name="Modern_QproMatt">Цены!$N$9</definedName>
    <definedName name="Modern_Sat">Цены!$AJ$9</definedName>
    <definedName name="Modern_SatMatt">Цены!$AF$9</definedName>
    <definedName name="Modern_Sf">Цены!$H$9</definedName>
    <definedName name="Modern_Sf_a">Цены!$J$9</definedName>
    <definedName name="Modern_StBarhat">Цены!$AD$9</definedName>
    <definedName name="Modern_Vel">Цены!$T$9</definedName>
    <definedName name="OMXNN">'5_1_ЗАБОРЫ'!$A$108:$A$121</definedName>
    <definedName name="PnC10_Atl">Цены!$V$18</definedName>
    <definedName name="PnC10_dachPr">Цены!$AX$18</definedName>
    <definedName name="PnC10_dachPr_k">Цены!$BB$18</definedName>
    <definedName name="PnC10_dachPr_tw">Цены!$BD$18</definedName>
    <definedName name="PnC10_dachSk">Цены!$AZ$18</definedName>
    <definedName name="PnC10_Dr">Цены!$AH$18</definedName>
    <definedName name="PnC10_Pe04">Цены!$AT$18</definedName>
    <definedName name="PnC10_Pe045">Цены!$AR$18</definedName>
    <definedName name="PnC10_Pe07">Цены!$AP$18</definedName>
    <definedName name="PnC10_Pe08">Цены!$AN$18</definedName>
    <definedName name="PnC10_PEdp">Цены!$AL$18</definedName>
    <definedName name="PnC10_PeMatt04">Цены!$AV$18</definedName>
    <definedName name="PnC10_Pt">Цены!$F$18</definedName>
    <definedName name="PnC10_Ptdp">Цены!$D$18</definedName>
    <definedName name="PnC10_PtRF">Цены!$L$18</definedName>
    <definedName name="PnC10_Pur">Цены!$Z$18</definedName>
    <definedName name="PnC10_PurLiteMatt">Цены!$AB$18</definedName>
    <definedName name="PnC10_PurMatt">Цены!$X$18</definedName>
    <definedName name="PnC10_Q">Цены!$P$18</definedName>
    <definedName name="PnC10_Ql">Цены!$R$18</definedName>
    <definedName name="PnC10_QproMatt">Цены!$N$18</definedName>
    <definedName name="PnC10_Sat">Цены!$AJ$18</definedName>
    <definedName name="PnC10_SatMatt">Цены!$AF$18</definedName>
    <definedName name="PnC10_Sf">Цены!$H$18</definedName>
    <definedName name="PnC10_Sf_a">Цены!$J$18</definedName>
    <definedName name="PnC10_StBarhat">Цены!$AD$18</definedName>
    <definedName name="PnC10_Vel">Цены!$T$18</definedName>
    <definedName name="PnC10_Zn035">Цены!$BF$18</definedName>
    <definedName name="PnC10_Zn04">Цены!$BH$18</definedName>
    <definedName name="PnC10_Zn045">Цены!$BJ$18</definedName>
    <definedName name="PnC10_Zn05">Цены!$BL$18</definedName>
    <definedName name="PnC10_Zn055">Цены!$BN$18</definedName>
    <definedName name="PnC10_Zn07">Цены!$BP$18</definedName>
    <definedName name="PnC10_Zn08">Цены!$BR$18</definedName>
    <definedName name="PnC10_Zn09">Цены!$BT$18</definedName>
    <definedName name="PnC10f_Atl">Цены!$V$19</definedName>
    <definedName name="PnC10f_dachPr">Цены!$AX$19</definedName>
    <definedName name="PnC10f_dachPr_k">Цены!$BB$19</definedName>
    <definedName name="PnC10f_dachPr_tw">Цены!$BD$19</definedName>
    <definedName name="PnC10f_dachSk">Цены!$AZ$19</definedName>
    <definedName name="PnC10f_Dr">Цены!$AH$19</definedName>
    <definedName name="PnC10f_Pe04">Цены!$AT$19</definedName>
    <definedName name="PnC10f_Pe045">Цены!$AR$19</definedName>
    <definedName name="PnC10f_Pe07">Цены!$AP$19</definedName>
    <definedName name="PnC10f_Pe08">Цены!$AN$19</definedName>
    <definedName name="PnC10f_PEdp">Цены!$AL$19</definedName>
    <definedName name="PnC10f_PeMatt04">Цены!$AV$19</definedName>
    <definedName name="PnC10f_Pt">Цены!$F$19</definedName>
    <definedName name="PnC10f_Ptdp">Цены!$D$19</definedName>
    <definedName name="PnC10f_PtRF">Цены!$L$19</definedName>
    <definedName name="PnC10f_Pur">Цены!$Z$19</definedName>
    <definedName name="PnC10f_PurLiteMatt">Цены!$AB$19</definedName>
    <definedName name="PnC10f_PurMatt">Цены!$X$19</definedName>
    <definedName name="PnC10f_Q">Цены!$P$19</definedName>
    <definedName name="PnC10f_Ql">Цены!$R$19</definedName>
    <definedName name="PnC10f_QproMatt">Цены!$N$19</definedName>
    <definedName name="PnC10f_Sat">Цены!$AJ$19</definedName>
    <definedName name="PnC10f_SatMatt">Цены!$AF$19</definedName>
    <definedName name="PnC10f_Sf">Цены!$H$19</definedName>
    <definedName name="PnC10f_Sf_a">Цены!$J$19</definedName>
    <definedName name="PnC10f_StBarhat">Цены!$AD$19</definedName>
    <definedName name="PnC10f_Vel">Цены!$T$19</definedName>
    <definedName name="PnC10f_Zn035">Цены!$BF$19</definedName>
    <definedName name="PnC10f_Zn04">Цены!$BH$19</definedName>
    <definedName name="PnC10f_Zn045">Цены!$BJ$19</definedName>
    <definedName name="PnC10f_Zn05">Цены!$BL$19</definedName>
    <definedName name="PnC10f_Zn055">Цены!$BN$19</definedName>
    <definedName name="PnC10f_Zn07">Цены!$BP$19</definedName>
    <definedName name="PnC10f_Zn08">Цены!$BR$19</definedName>
    <definedName name="PnC10f_Zn09">Цены!$BT$19</definedName>
    <definedName name="PnC20_Atl">Цены!$V$20</definedName>
    <definedName name="PnC20_dachPr">Цены!$AX$20</definedName>
    <definedName name="PnC20_dachPr_k">Цены!$BB$20</definedName>
    <definedName name="PnC20_dachPr_tw">Цены!$BD$20</definedName>
    <definedName name="PnC20_dachSk">Цены!$AZ$20</definedName>
    <definedName name="PnC20_Dr">Цены!$AH$20</definedName>
    <definedName name="PnC20_Pe04">Цены!$AT$20</definedName>
    <definedName name="PnC20_Pe045">Цены!$AR$20</definedName>
    <definedName name="PnC20_Pe07">Цены!$AP$20</definedName>
    <definedName name="PnC20_Pe08">Цены!$AN$20</definedName>
    <definedName name="PnC20_PEdp">Цены!$AL$20</definedName>
    <definedName name="PnC20_PeMatt04">Цены!$AV$20</definedName>
    <definedName name="PnC20_Pt">Цены!$F$20</definedName>
    <definedName name="PnC20_Ptdp">Цены!$D$20</definedName>
    <definedName name="PnC20_PtRF">Цены!$L$20</definedName>
    <definedName name="PnC20_Pur">Цены!$Z$20</definedName>
    <definedName name="PnC20_PurLiteMatt">Цены!$AB$20</definedName>
    <definedName name="PnC20_PurMatt">Цены!$X$20</definedName>
    <definedName name="PnC20_Q">Цены!$P$20</definedName>
    <definedName name="PnC20_Ql">Цены!$R$20</definedName>
    <definedName name="PnC20_QproMatt">Цены!$N$20</definedName>
    <definedName name="PnC20_Sat">Цены!$AJ$20</definedName>
    <definedName name="PnC20_SatMatt">Цены!$AF$20</definedName>
    <definedName name="PnC20_Sf">Цены!$H$20</definedName>
    <definedName name="PnC20_Sf_a">Цены!$J$20</definedName>
    <definedName name="PnC20_StBarhat">Цены!$AD$20</definedName>
    <definedName name="PnC20_Vel">Цены!$T$20</definedName>
    <definedName name="PnC20_Zn035">Цены!$BF$20</definedName>
    <definedName name="PnC20_Zn04">Цены!$BH$20</definedName>
    <definedName name="PnC20_Zn045">Цены!$BJ$20</definedName>
    <definedName name="PnC20_Zn05">Цены!$BL$20</definedName>
    <definedName name="PnC20_Zn055">Цены!$BN$20</definedName>
    <definedName name="PnC20_Zn07">Цены!$BP$20</definedName>
    <definedName name="PnC20_Zn08">Цены!$BR$20</definedName>
    <definedName name="PnC20_Zn09">Цены!$BT$20</definedName>
    <definedName name="PnC20f_Atl">Цены!$V$21</definedName>
    <definedName name="PnC20f_Dr">Цены!$AH$21</definedName>
    <definedName name="PnC20f_Pe046">Цены!$AR$21</definedName>
    <definedName name="PnC20f_PEdp">Цены!$AL$21</definedName>
    <definedName name="PnC20f_Pt">Цены!$F$21</definedName>
    <definedName name="PnC20f_Ql">Цены!$R$21</definedName>
    <definedName name="PnC20f_Sat">Цены!$AJ$21</definedName>
    <definedName name="PnC20f_Sf">Цены!$H$21</definedName>
    <definedName name="PnC20f_Sf_a">Цены!$J$21</definedName>
    <definedName name="PnC20f_Vel">Цены!$T$21</definedName>
    <definedName name="PnC20f_Zn046">Цены!$BJ$21</definedName>
    <definedName name="PnC21_Atl">Цены!$V$22</definedName>
    <definedName name="PnC21_dachPr">Цены!$AX$22</definedName>
    <definedName name="PnC21_dachPr_k">Цены!$BB$22</definedName>
    <definedName name="PnC21_dachPr_tw">Цены!$BD$22</definedName>
    <definedName name="PnC21_dachSk">Цены!$AZ$22</definedName>
    <definedName name="PnC21_Dr">Цены!$AH$22</definedName>
    <definedName name="PnC21_Pe04">Цены!$AT$22</definedName>
    <definedName name="PnC21_Pe045">Цены!$AR$22</definedName>
    <definedName name="PnC21_Pe07">Цены!$AP$22</definedName>
    <definedName name="PnC21_Pe08">Цены!$AN$22</definedName>
    <definedName name="PnC21_PEdp">Цены!$AL$22</definedName>
    <definedName name="PnC21_PeMatt04">Цены!$AV$22</definedName>
    <definedName name="PnC21_Pt">Цены!$F$22</definedName>
    <definedName name="PnC21_Ptdp">Цены!$D$22</definedName>
    <definedName name="PnC21_PtRF">Цены!$L$22</definedName>
    <definedName name="PnC21_Pur">Цены!$Z$22</definedName>
    <definedName name="PnC21_PurLiteMatt">Цены!$AB$22</definedName>
    <definedName name="PnC21_PurMatt">Цены!$X$22</definedName>
    <definedName name="PnC21_Q">Цены!$P$22</definedName>
    <definedName name="PnC21_Ql">Цены!$R$22</definedName>
    <definedName name="PnC21_QproMatt">Цены!$N$22</definedName>
    <definedName name="PnC21_Sat">Цены!$AJ$22</definedName>
    <definedName name="PnC21_SatMatt">Цены!$AF$22</definedName>
    <definedName name="PnC21_Sf">Цены!$H$22</definedName>
    <definedName name="PnC21_Sf_a">Цены!$J$22</definedName>
    <definedName name="PnC21_StBarhat">Цены!$AD$22</definedName>
    <definedName name="PnC21_Vel">Цены!$T$22</definedName>
    <definedName name="PnC21_Zn035">Цены!$BF$22</definedName>
    <definedName name="PnC21_Zn04">Цены!$BH$22</definedName>
    <definedName name="PnC21_Zn045">Цены!$BJ$22</definedName>
    <definedName name="PnC21_Zn05">Цены!$BL$22</definedName>
    <definedName name="PnC21_Zn055">Цены!$BN$22</definedName>
    <definedName name="PnC21_Zn07">Цены!$BP$22</definedName>
    <definedName name="PnC21_Zn08">Цены!$BR$22</definedName>
    <definedName name="PnC21_Zn09">Цены!$BT$22</definedName>
    <definedName name="PnC8_Atl">Цены!$V$16</definedName>
    <definedName name="PnC8_dachPr">Цены!$AX$16</definedName>
    <definedName name="PnC8_dachPr_k">Цены!$BB$16</definedName>
    <definedName name="PnC8_dachPr_tw">Цены!$BD$16</definedName>
    <definedName name="PnC8_dachSk">Цены!$AZ$16</definedName>
    <definedName name="PnC8_Dr">Цены!$AH$16</definedName>
    <definedName name="PnC8_Pe04">Цены!$AT$16</definedName>
    <definedName name="PnC8_Pe045">Цены!$AR$16</definedName>
    <definedName name="PnC8_Pe07">Цены!$AP$16</definedName>
    <definedName name="PnC8_Pe08">Цены!$AN$16</definedName>
    <definedName name="PnC8_PEdp">Цены!$AL$16</definedName>
    <definedName name="PnC8_PeMatt04">Цены!$AV$16</definedName>
    <definedName name="PnC8_Pt">Цены!$F$16</definedName>
    <definedName name="PnC8_Ptdp">Цены!$D$16</definedName>
    <definedName name="PnC8_PtRF">Цены!$L$16</definedName>
    <definedName name="PnC8_Pur">Цены!$Z$16</definedName>
    <definedName name="PnC8_PurLiteMatt">Цены!$AB$16</definedName>
    <definedName name="PnC8_PurMatt">Цены!$X$16</definedName>
    <definedName name="PnC8_Q">Цены!$P$16</definedName>
    <definedName name="PnC8_Ql">Цены!$R$16</definedName>
    <definedName name="PnC8_QproMatt">Цены!$N$16</definedName>
    <definedName name="PnC8_Sat">Цены!$AJ$16</definedName>
    <definedName name="PnC8_SatMatt">Цены!$AF$16</definedName>
    <definedName name="PnC8_Sf">Цены!$H$16</definedName>
    <definedName name="PnC8_Sf_a">Цены!$J$16</definedName>
    <definedName name="PnC8_StBarhat">Цены!$AD$16</definedName>
    <definedName name="PnC8_Vel">Цены!$T$16</definedName>
    <definedName name="PnC8_Zn035">Цены!$BF$16</definedName>
    <definedName name="PnC8_Zn04">Цены!$BH$16</definedName>
    <definedName name="PnC8_Zn045">Цены!$BJ$16</definedName>
    <definedName name="PnC8_Zn05">Цены!$BL$16</definedName>
    <definedName name="PnC8_Zn055">Цены!$BN$16</definedName>
    <definedName name="PnC8_Zn07">Цены!$BP$16</definedName>
    <definedName name="PnC8_Zn08">Цены!$BR$16</definedName>
    <definedName name="PnC8_Zn09">Цены!$BT$16</definedName>
    <definedName name="PnC8f_Atl">Цены!$V$17</definedName>
    <definedName name="PnC8f_Dr">Цены!$AH$17</definedName>
    <definedName name="PnC8f_Pe04">Цены!$AT$17</definedName>
    <definedName name="PnC8f_Pe045">Цены!$AR$17</definedName>
    <definedName name="PnC8f_PEdp">Цены!$AL$17</definedName>
    <definedName name="PnC8f_PeMatt04">Цены!$AV$17</definedName>
    <definedName name="PnC8f_Pt">Цены!$F$17</definedName>
    <definedName name="PnC8f_Ptdp">Цены!$D$17</definedName>
    <definedName name="PnC8f_PtRF">Цены!$L$17</definedName>
    <definedName name="PnC8f_Pur">Цены!$Z$17</definedName>
    <definedName name="PnC8f_PurLiteMatt">Цены!$AB$17</definedName>
    <definedName name="PnC8f_PurMatt">Цены!$X$17</definedName>
    <definedName name="PnC8f_Q">Цены!$P$17</definedName>
    <definedName name="PnC8f_Ql">Цены!$R$17</definedName>
    <definedName name="PnC8f_QproMatt">Цены!$N$17</definedName>
    <definedName name="PnC8f_Sat">Цены!$AJ$17</definedName>
    <definedName name="PnC8f_SatMatt">Цены!$AF$17</definedName>
    <definedName name="PnC8f_Sf">Цены!$H$17</definedName>
    <definedName name="PnC8f_Sf_a">Цены!$J$17</definedName>
    <definedName name="PnC8f_StBarhat">Цены!$AD$17</definedName>
    <definedName name="PnC8f_Vel">Цены!$T$17</definedName>
    <definedName name="PnC8f_Zn045">Цены!$BJ$17</definedName>
    <definedName name="PnC8f_Zn05">Цены!$BL$17</definedName>
    <definedName name="PnH60_Atl">Цены!$V$24</definedName>
    <definedName name="PnH60_dachPr">Цены!$AX$24</definedName>
    <definedName name="PnH60_dachPr_k">Цены!$BB$24</definedName>
    <definedName name="PnH60_dachPr_tw">Цены!$BD$24</definedName>
    <definedName name="PnH60_dachSk">Цены!$AZ$24</definedName>
    <definedName name="PnH60_Dr">Цены!$AH$24</definedName>
    <definedName name="PnH60_Pe04">Цены!$AT$24</definedName>
    <definedName name="PnH60_Pe045">Цены!$AR$24</definedName>
    <definedName name="PnH60_Pe07">Цены!$AP$24</definedName>
    <definedName name="PnH60_Pe08">Цены!$AN$24</definedName>
    <definedName name="PnH60_PEdp">Цены!$AL$24</definedName>
    <definedName name="PnH60_PeMatt04">Цены!$AV$24</definedName>
    <definedName name="PnH60_Pt">Цены!$F$24</definedName>
    <definedName name="PnH60_Ptdp">Цены!$D$24</definedName>
    <definedName name="PnH60_PtRF">Цены!$L$24</definedName>
    <definedName name="PnH60_Pur">Цены!$Z$24</definedName>
    <definedName name="PnH60_PurLiteMatt">Цены!$AB$24</definedName>
    <definedName name="PnH60_PurMatt">Цены!$X$24</definedName>
    <definedName name="PnH60_Q">Цены!$P$24</definedName>
    <definedName name="PnH60_Ql">Цены!$R$24</definedName>
    <definedName name="PnH60_QproMatt">Цены!$N$24</definedName>
    <definedName name="PnH60_Sat">Цены!$AJ$24</definedName>
    <definedName name="PnH60_SatMatt">Цены!$AF$24</definedName>
    <definedName name="PnH60_Sf">Цены!$H$24</definedName>
    <definedName name="PnH60_Sf_a">Цены!$J$24</definedName>
    <definedName name="PnH60_StBarhat">Цены!$AD$24</definedName>
    <definedName name="PnH60_Vel">Цены!$T$24</definedName>
    <definedName name="PnH60_Zn035">Цены!$BF$24</definedName>
    <definedName name="PnH60_Zn04">Цены!$BH$24</definedName>
    <definedName name="PnH60_Zn045">Цены!$BJ$24</definedName>
    <definedName name="PnH60_Zn05">Цены!$BL$24</definedName>
    <definedName name="PnH60_Zn055">Цены!$BN$24</definedName>
    <definedName name="PnH60_Zn07">Цены!$BP$24</definedName>
    <definedName name="PnH60_Zn08">Цены!$BR$24</definedName>
    <definedName name="PnH60_Zn09">Цены!$BT$24</definedName>
    <definedName name="PnH75_Atl">Цены!$V$25</definedName>
    <definedName name="PnH75_dachPr">Цены!$AX$25</definedName>
    <definedName name="PnH75_dachPr_k">Цены!$BB$25</definedName>
    <definedName name="PnH75_dachPr_tw">Цены!$BD$25</definedName>
    <definedName name="PnH75_dachSk">Цены!$AZ$25</definedName>
    <definedName name="PnH75_Dr">Цены!$AH$25</definedName>
    <definedName name="PnH75_Pe04">Цены!$AT$25</definedName>
    <definedName name="PnH75_Pe045">Цены!$AR$25</definedName>
    <definedName name="PnH75_Pe07">Цены!$AP$25</definedName>
    <definedName name="PnH75_Pe08">Цены!$AN$25</definedName>
    <definedName name="PnH75_PEdp">Цены!$AL$25</definedName>
    <definedName name="PnH75_PeMatt04">Цены!$AV$25</definedName>
    <definedName name="PnH75_Pt">Цены!$F$25</definedName>
    <definedName name="PnH75_Ptdp">Цены!$D$25</definedName>
    <definedName name="PnH75_Pur">Цены!$Z$25</definedName>
    <definedName name="PnH75_PurLiteMatt">Цены!$AB$25</definedName>
    <definedName name="PnH75_PurMatt">Цены!$X$25</definedName>
    <definedName name="PnH75_Q">Цены!$P$25</definedName>
    <definedName name="PnH75_Ql">Цены!$R$25</definedName>
    <definedName name="PnH75_QproMatt">Цены!$N$25</definedName>
    <definedName name="PnH75_Sat">Цены!$AJ$25</definedName>
    <definedName name="PnH75_SatMatt">Цены!$AF$25</definedName>
    <definedName name="PnH75_Sf">Цены!$H$25</definedName>
    <definedName name="PnH75_Sf_a">Цены!$J$25</definedName>
    <definedName name="PnH75_StBarhat">Цены!$AD$25</definedName>
    <definedName name="PnH75_Vel">Цены!$T$25</definedName>
    <definedName name="PnH75_Zn035">Цены!$BF$25</definedName>
    <definedName name="PnH75_Zn04">Цены!$BH$25</definedName>
    <definedName name="PnH75_Zn045">Цены!$BJ$25</definedName>
    <definedName name="PnH75_Zn05">Цены!$BL$25</definedName>
    <definedName name="PnH75_Zn055">Цены!$BN$25</definedName>
    <definedName name="PnH75_Zn07">Цены!$BP$25</definedName>
    <definedName name="PnH75_Zn08">Цены!$BR$25</definedName>
    <definedName name="PnH75_Zn09">Цены!$BT$25</definedName>
    <definedName name="PnHC35_Atl">Цены!$V$23</definedName>
    <definedName name="PnHC35_dachPr">Цены!$AX$23</definedName>
    <definedName name="PnHC35_dachPr_k">Цены!$BB$23</definedName>
    <definedName name="PnHC35_dachPr_tw">Цены!$BD$23</definedName>
    <definedName name="PnHC35_dachSk">Цены!$AZ$23</definedName>
    <definedName name="PnHC35_Dr">Цены!$AH$23</definedName>
    <definedName name="PnHC35_Pe04">Цены!$AT$23</definedName>
    <definedName name="PnHC35_Pe045">Цены!$AR$23</definedName>
    <definedName name="PnHC35_Pe07">Цены!$AP$23</definedName>
    <definedName name="PnHC35_Pe08">Цены!$AN$23</definedName>
    <definedName name="PnHC35_PEdp">Цены!$AL$23</definedName>
    <definedName name="PnHC35_PeMatt04">Цены!$AV$23</definedName>
    <definedName name="PnHC35_Pt">Цены!$F$23</definedName>
    <definedName name="PnHC35_Ptdp">Цены!$D$23</definedName>
    <definedName name="PnHC35_PtRF">Цены!$L$23</definedName>
    <definedName name="PnHC35_Pur">Цены!$Z$23</definedName>
    <definedName name="PnHC35_PurLiteMatt">Цены!$AB$23</definedName>
    <definedName name="PnHC35_PurMatt">Цены!$X$23</definedName>
    <definedName name="PnHC35_Q">Цены!$P$23</definedName>
    <definedName name="PnHC35_Ql">Цены!$R$23</definedName>
    <definedName name="PnHC35_QproMatt">Цены!$N$23</definedName>
    <definedName name="PnHC35_Sat">Цены!$AJ$23</definedName>
    <definedName name="PnHC35_SatMatt">Цены!$AF$23</definedName>
    <definedName name="PnHC35_Sf">Цены!$H$23</definedName>
    <definedName name="PnHC35_Sf_a">Цены!$J$23</definedName>
    <definedName name="PnHC35_StBarhat">Цены!$AD$23</definedName>
    <definedName name="PnHC35_Vel">Цены!$T$23</definedName>
    <definedName name="PnHC35_Zn035">Цены!$BF$23</definedName>
    <definedName name="PnHC35_Zn04">Цены!$BH$23</definedName>
    <definedName name="PnHC35_Zn045">Цены!$BJ$23</definedName>
    <definedName name="PnHC35_Zn05">Цены!$BL$23</definedName>
    <definedName name="PnHC35_Zn055">Цены!$BN$23</definedName>
    <definedName name="PnHC35_Zn07">Цены!$BP$23</definedName>
    <definedName name="PnHC35_Zn08">Цены!$BR$23</definedName>
    <definedName name="PnHC35_Zn09">Цены!$BT$23</definedName>
    <definedName name="Quadro_Atl">Цены!$V$10</definedName>
    <definedName name="Quadro_dachPr">Цены!$AX$10</definedName>
    <definedName name="Quadro_dachPr_k">Цены!$BB$10</definedName>
    <definedName name="Quadro_dachPr_tw">Цены!$BD$10</definedName>
    <definedName name="Quadro_dachSk">Цены!$AZ$10</definedName>
    <definedName name="Quadro_Dr">Цены!$AH$10</definedName>
    <definedName name="Quadro_Pe04">Цены!$AT$10</definedName>
    <definedName name="Quadro_Pe045">Цены!$AR$10</definedName>
    <definedName name="Quadro_Pe07">Цены!$AP$10</definedName>
    <definedName name="Quadro_Pe08">Цены!$AN$10</definedName>
    <definedName name="Quadro_PEdp">Цены!$AL$10</definedName>
    <definedName name="Quadro_PeMatt04">Цены!$AV$10</definedName>
    <definedName name="Quadro_Pt">Цены!$F$10</definedName>
    <definedName name="Quadro_Ptdp">Цены!$D$10</definedName>
    <definedName name="Quadro_Pur">Цены!$Z$10</definedName>
    <definedName name="Quadro_PurLiteMatt">Цены!$AB$10</definedName>
    <definedName name="Quadro_PurMatt">Цены!$X$10</definedName>
    <definedName name="Quadro_Q">Цены!$P$10</definedName>
    <definedName name="Quadro_Ql">Цены!$R$10</definedName>
    <definedName name="Quadro_QproMatt">Цены!$N$10</definedName>
    <definedName name="Quadro_Sat">Цены!$AJ$10</definedName>
    <definedName name="Quadro_SatMatt">Цены!$AF$10</definedName>
    <definedName name="Quadro_Sf">Цены!$H$10</definedName>
    <definedName name="Quadro_Sf_a">Цены!$J$10</definedName>
    <definedName name="Quadro_StBarhat">Цены!$AD$10</definedName>
    <definedName name="Quadro_Vel">Цены!$T$10</definedName>
    <definedName name="S_BHaus_Atl">Цены!$V$31</definedName>
    <definedName name="S_BHaus_dachPr">Цены!$AX$31</definedName>
    <definedName name="S_BHaus_dachPr_k">Цены!$BB$31</definedName>
    <definedName name="S_BHaus_dachPr_tw">Цены!$BD$31</definedName>
    <definedName name="S_BHaus_dachSk">Цены!$AZ$31</definedName>
    <definedName name="S_BHaus_Dr">Цены!$AH$31</definedName>
    <definedName name="S_BHaus_Pe04">Цены!$AT$31</definedName>
    <definedName name="S_BHaus_Pe045">Цены!$AR$31</definedName>
    <definedName name="S_BHaus_Pe07">Цены!$AP$31</definedName>
    <definedName name="S_BHaus_Pe08">Цены!$AN$31</definedName>
    <definedName name="S_BHaus_PEdp">Цены!$AL$31</definedName>
    <definedName name="S_BHaus_PeMatt04">Цены!$AV$31</definedName>
    <definedName name="S_BHaus_Pt">Цены!$F$31</definedName>
    <definedName name="S_BHaus_Ptdp">Цены!$D$31</definedName>
    <definedName name="S_BHaus_Pur">Цены!$Z$31</definedName>
    <definedName name="S_BHaus_PurLiteMatt">Цены!$AB$31</definedName>
    <definedName name="S_BHaus_PurMatt">Цены!$X$31</definedName>
    <definedName name="S_BHaus_Q">Цены!$P$31</definedName>
    <definedName name="S_BHaus_Ql">Цены!$R$31</definedName>
    <definedName name="S_BHaus_QproMatt">Цены!$N$31</definedName>
    <definedName name="S_BHaus_Sat">Цены!$AJ$31</definedName>
    <definedName name="S_BHaus_SatMatt">Цены!$AF$31</definedName>
    <definedName name="S_BHaus_Sf">Цены!$H$31</definedName>
    <definedName name="S_BHaus_Sf_a">Цены!$J$31</definedName>
    <definedName name="S_BHaus_StBarhat">Цены!$AD$31</definedName>
    <definedName name="S_BHaus_Vel">Цены!$T$31</definedName>
    <definedName name="S_BHausNew_Atl">Цены!$V$32</definedName>
    <definedName name="S_BHausNew_dachPr">Цены!$AX$32</definedName>
    <definedName name="S_BHausNew_dachPr_k">Цены!$BB$32</definedName>
    <definedName name="S_BHausNew_dachPr_tw">Цены!$BD$32</definedName>
    <definedName name="S_BHausNew_dachSk">Цены!$AZ$32</definedName>
    <definedName name="S_BHausNew_Dr">Цены!$AH$32</definedName>
    <definedName name="S_BHausNew_Pe04">Цены!$AT$32</definedName>
    <definedName name="S_BHausNew_Pe045">Цены!$AR$32</definedName>
    <definedName name="S_BHausNew_Pe07">Цены!$AP$32</definedName>
    <definedName name="S_BHausNew_Pe08">Цены!$AN$32</definedName>
    <definedName name="S_BHausNew_PEdp">Цены!$AL$32</definedName>
    <definedName name="S_BHausNew_PeMatt04">Цены!$AV$32</definedName>
    <definedName name="S_BHausNew_Pt">Цены!$F$32</definedName>
    <definedName name="S_BHausNew_Ptdp">Цены!$D$32</definedName>
    <definedName name="S_BHausNew_PtRF">Цены!$L$32</definedName>
    <definedName name="S_BHausNew_Pur">Цены!$Z$32</definedName>
    <definedName name="S_BHausNew_PurLiteMatt">Цены!$AB$32</definedName>
    <definedName name="S_BHausNew_PurMatt">Цены!$X$32</definedName>
    <definedName name="S_BHausNew_Q">Цены!$P$32</definedName>
    <definedName name="S_BHausNew_Ql">Цены!$R$32</definedName>
    <definedName name="S_BHausNew_QproMatt">Цены!$N$32</definedName>
    <definedName name="S_BHausNew_Sat">Цены!$AJ$32</definedName>
    <definedName name="S_BHausNew_SatMatt">Цены!$AF$32</definedName>
    <definedName name="S_BHausNew_Sf">Цены!$H$32</definedName>
    <definedName name="S_BHausNew_Sf_a">Цены!$J$32</definedName>
    <definedName name="S_BHausNew_StBarhat">Цены!$AD$32</definedName>
    <definedName name="S_BHausNew_Vel">Цены!$T$32</definedName>
    <definedName name="S_EBrus_Atl">Цены!$V$30</definedName>
    <definedName name="S_EBrus_dachPr">Цены!$AX$30</definedName>
    <definedName name="S_EBrus_dachPr_k">Цены!$BB$30</definedName>
    <definedName name="S_EBrus_dachPr_tw">Цены!$BD$30</definedName>
    <definedName name="S_EBrus_dachSk">Цены!$AZ$30</definedName>
    <definedName name="S_EBrus_Dr">Цены!$AH$30</definedName>
    <definedName name="S_EBrus_Pe04">Цены!$AT$30</definedName>
    <definedName name="S_EBrus_Pe045">Цены!$AR$30</definedName>
    <definedName name="S_EBrus_Pe07">Цены!$AP$30</definedName>
    <definedName name="S_EBrus_Pe08">Цены!$AN$30</definedName>
    <definedName name="S_EBrus_PEdp">Цены!$AL$30</definedName>
    <definedName name="S_EBrus_PeMatt04">Цены!$AV$30</definedName>
    <definedName name="S_EBrus_Pt">Цены!$F$30</definedName>
    <definedName name="S_EBrus_Ptdp">Цены!$D$30</definedName>
    <definedName name="S_EBrus_PtRF">Цены!$L$30</definedName>
    <definedName name="S_EBrus_Pur">Цены!$Z$30</definedName>
    <definedName name="S_EBrus_PurLiteMatt">Цены!$AB$30</definedName>
    <definedName name="S_EBrus_PurMatt">Цены!$X$30</definedName>
    <definedName name="S_EBrus_Q">Цены!$P$30</definedName>
    <definedName name="S_EBrus_Ql">Цены!$R$30</definedName>
    <definedName name="S_EBrus_QproMatt">Цены!$N$30</definedName>
    <definedName name="S_EBrus_Sat">Цены!$AJ$30</definedName>
    <definedName name="S_EBrus_SatMatt">Цены!$AF$30</definedName>
    <definedName name="S_EBrus_Sf">Цены!$H$30</definedName>
    <definedName name="S_EBrus_Sf_a">Цены!$J$30</definedName>
    <definedName name="S_EBrus_StBarhat">Цены!$AD$30</definedName>
    <definedName name="S_EBrus_Vel">Цены!$T$30</definedName>
    <definedName name="S_KDoska_Atl">Цены!$V$28</definedName>
    <definedName name="S_KDoska_dachPr">Цены!$AX$28</definedName>
    <definedName name="S_KDoska_dachPr_k">Цены!$BB$28</definedName>
    <definedName name="S_KDoska_dachPr_tw">Цены!$BD$28</definedName>
    <definedName name="S_KDoska_dachSk">Цены!$AZ$28</definedName>
    <definedName name="S_KDoska_Dr">Цены!$AH$28</definedName>
    <definedName name="S_KDoska_Pe04">Цены!$AT$28</definedName>
    <definedName name="S_KDoska_Pe045">Цены!$AR$28</definedName>
    <definedName name="S_KDoska_Pe07">Цены!$AP$28</definedName>
    <definedName name="S_KDoska_Pe08">Цены!$AN$28</definedName>
    <definedName name="S_KDoska_PEdp">Цены!$AL$28</definedName>
    <definedName name="S_KDoska_PeMatt04">Цены!$AV$28</definedName>
    <definedName name="S_KDoska_Pt">Цены!$F$28</definedName>
    <definedName name="S_KDoska_Ptdp">Цены!$D$28</definedName>
    <definedName name="S_KDoska_PtRF">Цены!$L$28</definedName>
    <definedName name="S_KDoska_Pur">Цены!$Z$28</definedName>
    <definedName name="S_KDoska_PurLiteMatt">Цены!$AB$28</definedName>
    <definedName name="S_KDoska_PurMatt">Цены!$X$28</definedName>
    <definedName name="S_KDoska_Q">Цены!$P$28</definedName>
    <definedName name="S_KDoska_Ql">Цены!$R$28</definedName>
    <definedName name="S_KDoska_QproMatt">Цены!$N$28</definedName>
    <definedName name="S_KDoska_Sat">Цены!$AJ$28</definedName>
    <definedName name="S_KDoska_SatMatt">Цены!$AF$28</definedName>
    <definedName name="S_KDoska_Sf">Цены!$H$28</definedName>
    <definedName name="S_KDoska_Sf_a">Цены!$J$28</definedName>
    <definedName name="S_KDoska_StBarhat">Цены!$AD$28</definedName>
    <definedName name="S_KDoska_Vel">Цены!$T$28</definedName>
    <definedName name="S_Shtukaturka_Atl">Цены!$V$33</definedName>
    <definedName name="S_Shtukaturka_Dr">Цены!$AH$33</definedName>
    <definedName name="S_Shtukaturka_Pe045">Цены!$AR$33</definedName>
    <definedName name="S_Shtukaturka_PeMatt04">Цены!$AV$33</definedName>
    <definedName name="S_Shtukaturka_Pt">Цены!$F$33</definedName>
    <definedName name="S_Shtukaturka_Ptdp">Цены!$D$33</definedName>
    <definedName name="S_Shtukaturka_Pur">Цены!$Z$33</definedName>
    <definedName name="S_Shtukaturka_PurLiteMatt">Цены!$AB$33</definedName>
    <definedName name="S_Shtukaturka_PurMatt">Цены!$X$33</definedName>
    <definedName name="S_Shtukaturka_Q">Цены!$P$33</definedName>
    <definedName name="S_Shtukaturka_Ql">Цены!$R$33</definedName>
    <definedName name="S_Shtukaturka_QproMatt">Цены!$N$33</definedName>
    <definedName name="S_Shtukaturka_Sat">Цены!$AJ$33</definedName>
    <definedName name="S_Shtukaturka_SatMatt">Цены!$AF$33</definedName>
    <definedName name="S_Shtukaturka_Sf">Цены!$H$33</definedName>
    <definedName name="S_Shtukaturka_Sf_a">Цены!$J$33</definedName>
    <definedName name="S_Shtukaturka_StBarhat">Цены!$AD$33</definedName>
    <definedName name="S_Shtukaturka_Vel">Цены!$T$33</definedName>
    <definedName name="S_Vertikal_Atl">Цены!$V$29</definedName>
    <definedName name="S_Vertikal_dachPr">Цены!$AX$29</definedName>
    <definedName name="S_Vertikal_dachPr_k">Цены!$BB$29</definedName>
    <definedName name="S_Vertikal_dachPr_tw">Цены!$BD$29</definedName>
    <definedName name="S_Vertikal_dachSk">Цены!$AZ$29</definedName>
    <definedName name="S_Vertikal_Dr">Цены!$AH$29</definedName>
    <definedName name="S_Vertikal_Pe04">Цены!$AT$29</definedName>
    <definedName name="S_Vertikal_Pe045">Цены!$AR$29</definedName>
    <definedName name="S_Vertikal_Pe07">Цены!$AP$29</definedName>
    <definedName name="S_Vertikal_Pe08">Цены!$AN$29</definedName>
    <definedName name="S_Vertikal_PEdp">Цены!$AL$29</definedName>
    <definedName name="S_Vertikal_PeMatt04">Цены!$AV$29</definedName>
    <definedName name="S_Vertikal_Pt">Цены!$F$29</definedName>
    <definedName name="S_Vertikal_Ptdp">Цены!$D$29</definedName>
    <definedName name="S_Vertikal_PtRF">Цены!$L$29</definedName>
    <definedName name="S_Vertikal_Pur">Цены!$Z$29</definedName>
    <definedName name="S_Vertikal_PurLiteMatt">Цены!$AB$29</definedName>
    <definedName name="S_Vertikal_PurMatt">Цены!$X$29</definedName>
    <definedName name="S_Vertikal_Q">Цены!$P$29</definedName>
    <definedName name="S_Vertikal_Ql">Цены!$R$29</definedName>
    <definedName name="S_Vertikal_QproMatt">Цены!$N$29</definedName>
    <definedName name="S_Vertikal_Sat">Цены!$AJ$29</definedName>
    <definedName name="S_Vertikal_SatMatt">Цены!$AF$29</definedName>
    <definedName name="S_Vertikal_Sf">Цены!$H$29</definedName>
    <definedName name="S_Vertikal_Sf_a">Цены!$J$29</definedName>
    <definedName name="S_Vertikal_StBarhat">Цены!$AD$29</definedName>
    <definedName name="S_Vertikal_Vel">Цены!$T$29</definedName>
    <definedName name="Shtaket_Kr_Atl">Цены!$V$41</definedName>
    <definedName name="Shtaket_Kr_dachPr">Цены!$AX$41</definedName>
    <definedName name="Shtaket_Kr_dachPr_k">Цены!$BB$41</definedName>
    <definedName name="Shtaket_Kr_dachPr_tw">Цены!$BD$41</definedName>
    <definedName name="Shtaket_Kr_dachSk">Цены!$AZ$41</definedName>
    <definedName name="Shtaket_Kr_Dr">Цены!$AH$41</definedName>
    <definedName name="Shtaket_Kr_Pe04">Цены!$AT$41</definedName>
    <definedName name="Shtaket_Kr_Pe045">Цены!$AR$41</definedName>
    <definedName name="Shtaket_Kr_Pe07">Цены!$AP$41</definedName>
    <definedName name="Shtaket_Kr_Pe08">Цены!$AN$41</definedName>
    <definedName name="Shtaket_Kr_PEdp">Цены!$AL$41</definedName>
    <definedName name="Shtaket_Kr_PeMatt04">Цены!$AV$41</definedName>
    <definedName name="Shtaket_Kr_Pt">Цены!$F$41</definedName>
    <definedName name="Shtaket_Kr_Ptdp">Цены!$D$41</definedName>
    <definedName name="Shtaket_Kr_Pur">Цены!$Z$41</definedName>
    <definedName name="Shtaket_Kr_PurLiteMatt">Цены!$AB$41</definedName>
    <definedName name="Shtaket_Kr_PurMatt">Цены!$X$41</definedName>
    <definedName name="Shtaket_Kr_Q">Цены!$P$41</definedName>
    <definedName name="Shtaket_Kr_Ql">Цены!$R$41</definedName>
    <definedName name="Shtaket_Kr_QproMatt">Цены!$N$41</definedName>
    <definedName name="Shtaket_Kr_Sat">Цены!$AJ$41</definedName>
    <definedName name="Shtaket_Kr_SatMatt">Цены!$AF$41</definedName>
    <definedName name="Shtaket_Kr_Sf">Цены!$H$41</definedName>
    <definedName name="Shtaket_Kr_Sf_a">Цены!$J$41</definedName>
    <definedName name="Shtaket_Kr_StBarhat">Цены!$AD$41</definedName>
    <definedName name="Shtaket_Kr_Vel">Цены!$T$41</definedName>
    <definedName name="Shtaket_Krf_Atl">Цены!$V$42</definedName>
    <definedName name="Shtaket_Krf_dachPr">Цены!$AX$42</definedName>
    <definedName name="Shtaket_Krf_dachPr_k">Цены!$BB$42</definedName>
    <definedName name="Shtaket_Krf_dachPr_tw">Цены!$BD$42</definedName>
    <definedName name="Shtaket_Krf_dachSk">Цены!$AZ$42</definedName>
    <definedName name="Shtaket_Krf_Dr">Цены!$AH$42</definedName>
    <definedName name="Shtaket_Krf_Pe04">Цены!$AT$42</definedName>
    <definedName name="Shtaket_Krf_Pe045">Цены!$AR$42</definedName>
    <definedName name="Shtaket_Krf_Pe07">Цены!$AP$42</definedName>
    <definedName name="Shtaket_Krf_Pe08">Цены!$AN$42</definedName>
    <definedName name="Shtaket_Krf_PEdp">Цены!$AL$42</definedName>
    <definedName name="Shtaket_Krf_PeMatt04">Цены!$AV$42</definedName>
    <definedName name="Shtaket_Krf_Pt">Цены!$F$42</definedName>
    <definedName name="Shtaket_Krf_Ptdp">Цены!$D$42</definedName>
    <definedName name="Shtaket_Krf_Pur">Цены!$Z$42</definedName>
    <definedName name="Shtaket_Krf_PurLiteMatt">Цены!$AB$42</definedName>
    <definedName name="Shtaket_Krf_PurMatt">Цены!$X$42</definedName>
    <definedName name="Shtaket_Krf_Q">Цены!$P$42</definedName>
    <definedName name="Shtaket_Krf_Ql">Цены!$R$42</definedName>
    <definedName name="Shtaket_Krf_Qpro">Цены!$N$42</definedName>
    <definedName name="Shtaket_Krf_QproMatt">Цены!$N$42</definedName>
    <definedName name="Shtaket_Krf_Sat">Цены!$AJ$42</definedName>
    <definedName name="Shtaket_Krf_SatMatt">Цены!$AF$42</definedName>
    <definedName name="Shtaket_Krf_Sf">Цены!$H$42</definedName>
    <definedName name="Shtaket_Krf_Sf_a">Цены!$J$42</definedName>
    <definedName name="Shtaket_Krf_StBarhat">Цены!$AD$42</definedName>
    <definedName name="Shtaket_Krf_Vel">Цены!$T$42</definedName>
    <definedName name="Shtaket_MP_Atl">Цены!$V$35</definedName>
    <definedName name="Shtaket_MP_dachPr">Цены!$AX$35</definedName>
    <definedName name="Shtaket_MP_dachPr_k">Цены!$BB$35</definedName>
    <definedName name="Shtaket_MP_dachPr_tw">Цены!$BD$35</definedName>
    <definedName name="Shtaket_MP_dachSk">Цены!$AZ$35</definedName>
    <definedName name="Shtaket_MP_Dr">Цены!$AH$35</definedName>
    <definedName name="Shtaket_MP_Pe04">Цены!$AT$35</definedName>
    <definedName name="Shtaket_MP_Pe045">Цены!$AR$35</definedName>
    <definedName name="Shtaket_MP_Pe07">Цены!$AP$35</definedName>
    <definedName name="Shtaket_MP_Pe08">Цены!$AN$35</definedName>
    <definedName name="Shtaket_MP_PEdp">Цены!$AL$35</definedName>
    <definedName name="Shtaket_MP_PeMatt04">Цены!$AV$35</definedName>
    <definedName name="Shtaket_MP_Pt">Цены!$F$35</definedName>
    <definedName name="Shtaket_MP_Ptdp">Цены!$D$35</definedName>
    <definedName name="Shtaket_MP_PtRF">Цены!$L$35</definedName>
    <definedName name="Shtaket_MP_Pur">Цены!$Z$35</definedName>
    <definedName name="Shtaket_MP_PurLiteMatt">Цены!$AB$35</definedName>
    <definedName name="Shtaket_MP_PurMatt">Цены!$X$35</definedName>
    <definedName name="Shtaket_MP_Q">Цены!$P$35</definedName>
    <definedName name="Shtaket_MP_Ql">Цены!$R$35</definedName>
    <definedName name="Shtaket_MP_QproMatt">Цены!$N$35</definedName>
    <definedName name="Shtaket_MP_Sat">Цены!$AJ$35</definedName>
    <definedName name="Shtaket_MP_SatMatt">Цены!$AF$35</definedName>
    <definedName name="Shtaket_MP_Sf">Цены!$H$35</definedName>
    <definedName name="Shtaket_MP_Sf_a">Цены!$J$35</definedName>
    <definedName name="Shtaket_MP_StBarhat">Цены!$AD$35</definedName>
    <definedName name="Shtaket_MP_Vel">Цены!$T$35</definedName>
    <definedName name="Shtaket_MPf_Atl">Цены!$V$36</definedName>
    <definedName name="Shtaket_MPf_dachPr">Цены!$AX$36</definedName>
    <definedName name="Shtaket_MPf_dachPr_k">Цены!$BB$36</definedName>
    <definedName name="Shtaket_MPf_dachPr_tw">Цены!$BD$36</definedName>
    <definedName name="Shtaket_MPf_dachSk">Цены!$AZ$36</definedName>
    <definedName name="Shtaket_MPf_Dr">Цены!$AH$36</definedName>
    <definedName name="Shtaket_MPf_Pe04">Цены!$AT$36</definedName>
    <definedName name="Shtaket_MPf_Pe045">Цены!$AR$36</definedName>
    <definedName name="Shtaket_MPf_Pe07">Цены!$AP$36</definedName>
    <definedName name="Shtaket_MPf_Pe08">Цены!$AN$36</definedName>
    <definedName name="Shtaket_MPf_PEdp">Цены!$AL$36</definedName>
    <definedName name="Shtaket_MPf_PeMatt04">Цены!$AV$36</definedName>
    <definedName name="Shtaket_MPf_Pt">Цены!$F$36</definedName>
    <definedName name="Shtaket_MPf_Ptdp">Цены!$D$36</definedName>
    <definedName name="Shtaket_MPf_PtRF">Цены!$L$36</definedName>
    <definedName name="Shtaket_MPf_Pur">Цены!$Z$36</definedName>
    <definedName name="Shtaket_MPf_PurLiteMatt">Цены!$AB$36</definedName>
    <definedName name="Shtaket_MPf_PurMatt">Цены!$X$36</definedName>
    <definedName name="Shtaket_MPf_Q">Цены!$P$36</definedName>
    <definedName name="Shtaket_MPf_Ql">Цены!$R$36</definedName>
    <definedName name="Shtaket_MPf_QproMatt">Цены!$N$36</definedName>
    <definedName name="Shtaket_MPf_Sat">Цены!$AJ$36</definedName>
    <definedName name="Shtaket_MPf_SatMatt">Цены!$AF$36</definedName>
    <definedName name="Shtaket_MPf_Sf">Цены!$H$36</definedName>
    <definedName name="Shtaket_MPf_Sf_a">Цены!$J$36</definedName>
    <definedName name="Shtaket_MPf_StBarhat">Цены!$AD$36</definedName>
    <definedName name="Shtaket_MPf_Vel">Цены!$T$36</definedName>
    <definedName name="Shtaket_Pk_Atl">Цены!$V$39</definedName>
    <definedName name="Shtaket_Pk_dachPr">Цены!$AX$39</definedName>
    <definedName name="Shtaket_Pk_dachPr_k">Цены!$BB$39</definedName>
    <definedName name="Shtaket_Pk_dachPr_tw">Цены!$BD$39</definedName>
    <definedName name="Shtaket_Pk_dachSk">Цены!$AZ$39</definedName>
    <definedName name="Shtaket_Pk_Dr">Цены!$AH$39</definedName>
    <definedName name="Shtaket_Pk_Pe04">Цены!$AT$39</definedName>
    <definedName name="Shtaket_Pk_Pe045">Цены!$AR$39</definedName>
    <definedName name="Shtaket_Pk_Pe07">Цены!$AP$39</definedName>
    <definedName name="Shtaket_Pk_Pe08">Цены!$AN$39</definedName>
    <definedName name="Shtaket_Pk_PEdp">Цены!$AL$39</definedName>
    <definedName name="Shtaket_Pk_PeMatt04">Цены!$AV$39</definedName>
    <definedName name="Shtaket_Pk_Pt">Цены!$F$39</definedName>
    <definedName name="Shtaket_Pk_Ptdp">Цены!$D$39</definedName>
    <definedName name="Shtaket_Pk_PtRF">Цены!$L$39</definedName>
    <definedName name="Shtaket_Pk_Pur">Цены!$Z$39</definedName>
    <definedName name="Shtaket_Pk_PurLiteMatt">Цены!$AB$39</definedName>
    <definedName name="Shtaket_Pk_PurMatt">Цены!$X$39</definedName>
    <definedName name="Shtaket_Pk_Q">Цены!$P$39</definedName>
    <definedName name="Shtaket_Pk_Ql">Цены!$R$39</definedName>
    <definedName name="Shtaket_Pk_QproMatt">Цены!$N$39</definedName>
    <definedName name="Shtaket_Pk_Sat">Цены!$AJ$39</definedName>
    <definedName name="Shtaket_Pk_SatMatt">Цены!$AF$39</definedName>
    <definedName name="Shtaket_Pk_Sf">Цены!$H$39</definedName>
    <definedName name="Shtaket_Pk_Sf_a">Цены!$J$39</definedName>
    <definedName name="Shtaket_Pk_StBarhat">Цены!$AD$39</definedName>
    <definedName name="Shtaket_Pk_Vel">Цены!$T$39</definedName>
    <definedName name="Shtaket_Pkf_Atl">Цены!$V$40</definedName>
    <definedName name="Shtaket_Pkf_dachPr">Цены!$AX$40</definedName>
    <definedName name="Shtaket_Pkf_dachPr_k">Цены!$BB$40</definedName>
    <definedName name="Shtaket_Pkf_dachPr_tw">Цены!$BD$40</definedName>
    <definedName name="Shtaket_Pkf_dachSk">Цены!$AZ$40</definedName>
    <definedName name="Shtaket_Pkf_Dr">Цены!$AH$40</definedName>
    <definedName name="Shtaket_Pkf_Pe04">Цены!$AT$40</definedName>
    <definedName name="Shtaket_Pkf_Pe045">Цены!$AR$40</definedName>
    <definedName name="Shtaket_Pkf_Pe07">Цены!$AP$40</definedName>
    <definedName name="Shtaket_Pkf_Pe08">Цены!$AN$40</definedName>
    <definedName name="Shtaket_Pkf_PEdp">Цены!$AL$40</definedName>
    <definedName name="Shtaket_Pkf_PeMatt04">Цены!$AV$40</definedName>
    <definedName name="Shtaket_Pkf_Pt">Цены!$F$40</definedName>
    <definedName name="Shtaket_Pkf_Ptdp">Цены!$D$40</definedName>
    <definedName name="Shtaket_Pkf_PtRF">Цены!$L$40</definedName>
    <definedName name="Shtaket_Pkf_Pur">Цены!$Z$40</definedName>
    <definedName name="Shtaket_Pkf_PurLiteMatt">Цены!$AB$40</definedName>
    <definedName name="Shtaket_Pkf_PurMatt">Цены!$X$40</definedName>
    <definedName name="Shtaket_Pkf_Q">Цены!$P$40</definedName>
    <definedName name="Shtaket_Pkf_Ql">Цены!$R$40</definedName>
    <definedName name="Shtaket_Pkf_QproMatt">Цены!$N$40</definedName>
    <definedName name="Shtaket_Pkf_Sat">Цены!$AJ$40</definedName>
    <definedName name="Shtaket_Pkf_SatMatt">Цены!$AF$40</definedName>
    <definedName name="Shtaket_Pkf_Sf">Цены!$H$40</definedName>
    <definedName name="Shtaket_Pkf_Sf_a">Цены!$J$40</definedName>
    <definedName name="Shtaket_Pkf_StBarhat">Цены!$AD$40</definedName>
    <definedName name="Shtaket_Pkf_Vel">Цены!$T$40</definedName>
    <definedName name="Shtaket_Pr_Atl">Цены!$V$43</definedName>
    <definedName name="Shtaket_Pr_dachPr">Цены!$AX$43</definedName>
    <definedName name="Shtaket_Pr_dachPr_k">Цены!$BB$43</definedName>
    <definedName name="Shtaket_Pr_dachPr_tw">Цены!$BD$43</definedName>
    <definedName name="Shtaket_Pr_dachSk">Цены!$AZ$43</definedName>
    <definedName name="Shtaket_Pr_Dr">Цены!$AH$43</definedName>
    <definedName name="Shtaket_Pr_Pe04">Цены!$AT$43</definedName>
    <definedName name="Shtaket_Pr_Pe045">Цены!$AR$43</definedName>
    <definedName name="Shtaket_Pr_Pe07">Цены!$AP$43</definedName>
    <definedName name="Shtaket_Pr_Pe08">Цены!$AN$43</definedName>
    <definedName name="Shtaket_Pr_PEdp">Цены!$AL$43</definedName>
    <definedName name="Shtaket_Pr_PeMatt04">Цены!$AV$43</definedName>
    <definedName name="Shtaket_Pr_Pt">Цены!$F$43</definedName>
    <definedName name="Shtaket_Pr_Ptdp">Цены!$D$43</definedName>
    <definedName name="Shtaket_Pr_Pur">Цены!$Z$43</definedName>
    <definedName name="Shtaket_Pr_PurLiteMatt">Цены!$AB$43</definedName>
    <definedName name="Shtaket_Pr_PurMatt">Цены!$X$43</definedName>
    <definedName name="Shtaket_Pr_Q">Цены!$P$43</definedName>
    <definedName name="Shtaket_Pr_Ql">Цены!$R$43</definedName>
    <definedName name="Shtaket_Pr_Qpro">Цены!$N$43</definedName>
    <definedName name="Shtaket_Pr_QproMatt">Цены!$N$43</definedName>
    <definedName name="Shtaket_Pr_Sat">Цены!$AJ$43</definedName>
    <definedName name="Shtaket_Pr_SatMatt">Цены!$AF$43</definedName>
    <definedName name="Shtaket_Pr_Sf">Цены!$H$43</definedName>
    <definedName name="Shtaket_Pr_Sf_a">Цены!$J$43</definedName>
    <definedName name="Shtaket_Pr_StBarhat">Цены!$AD$43</definedName>
    <definedName name="Shtaket_Pr_Vel">Цены!$T$43</definedName>
    <definedName name="Shtaket_Prf_Atl">Цены!$V$44</definedName>
    <definedName name="Shtaket_Prf_dachPr">Цены!$AX$44</definedName>
    <definedName name="Shtaket_Prf_dachPr_k">Цены!$BB$44</definedName>
    <definedName name="Shtaket_Prf_dachPr_tw">Цены!$BD$44</definedName>
    <definedName name="Shtaket_Prf_dachSk">Цены!$AZ$44</definedName>
    <definedName name="Shtaket_Prf_Dr">Цены!$AH$44</definedName>
    <definedName name="Shtaket_Prf_Pe04">Цены!$AT$44</definedName>
    <definedName name="Shtaket_Prf_Pe045">Цены!$AR$44</definedName>
    <definedName name="Shtaket_Prf_Pe07">Цены!$AP$44</definedName>
    <definedName name="Shtaket_Prf_Pe08">Цены!$AN$44</definedName>
    <definedName name="Shtaket_Prf_PEdp">Цены!$AL$44</definedName>
    <definedName name="Shtaket_Prf_PeMatt04">Цены!$AV$44</definedName>
    <definedName name="Shtaket_Prf_Pt">Цены!$F$44</definedName>
    <definedName name="Shtaket_Prf_Ptdp">Цены!$D$44</definedName>
    <definedName name="Shtaket_Prf_Pur">Цены!$Z$44</definedName>
    <definedName name="Shtaket_Prf_PurLiteMatt">Цены!$AB$44</definedName>
    <definedName name="Shtaket_Prf_PurMatt">Цены!$X$44</definedName>
    <definedName name="Shtaket_Prf_Q">Цены!$P$44</definedName>
    <definedName name="Shtaket_Prf_Ql">Цены!$R$44</definedName>
    <definedName name="Shtaket_Prf_QproMatt">Цены!$N$44</definedName>
    <definedName name="Shtaket_Prf_Sat">Цены!$AJ$44</definedName>
    <definedName name="Shtaket_Prf_SatMatt">Цены!$AF$44</definedName>
    <definedName name="Shtaket_Prf_Sf">Цены!$H$44</definedName>
    <definedName name="Shtaket_Prf_Sf_a">Цены!$J$44</definedName>
    <definedName name="Shtaket_Prf_StBarhat">Цены!$AD$44</definedName>
    <definedName name="Shtaket_Prf_Vel">Цены!$T$44</definedName>
    <definedName name="Shtaket_Tw_Atl">Цены!$V$37</definedName>
    <definedName name="Shtaket_Tw_dachPr">Цены!$AX$37</definedName>
    <definedName name="Shtaket_Tw_dachPr_k">Цены!$BB$37</definedName>
    <definedName name="Shtaket_Tw_dachPr_tw">Цены!$BD$37</definedName>
    <definedName name="Shtaket_Tw_dachSk">Цены!$AZ$37</definedName>
    <definedName name="Shtaket_Tw_Dr">Цены!$AH$37</definedName>
    <definedName name="Shtaket_Tw_Pe04">Цены!$AT$37</definedName>
    <definedName name="Shtaket_Tw_Pe045">Цены!$AR$37</definedName>
    <definedName name="Shtaket_Tw_Pe07">Цены!$AP$37</definedName>
    <definedName name="Shtaket_Tw_Pe08">Цены!$AN$37</definedName>
    <definedName name="Shtaket_Tw_PEdp">Цены!$AL$37</definedName>
    <definedName name="Shtaket_Tw_PeMatt04">Цены!$AV$37</definedName>
    <definedName name="Shtaket_Tw_Pt">Цены!$F$37</definedName>
    <definedName name="Shtaket_Tw_Ptdp">Цены!$D$37</definedName>
    <definedName name="Shtaket_Tw_PtRF">Цены!$L$37</definedName>
    <definedName name="Shtaket_Tw_Pur">Цены!$Z$37</definedName>
    <definedName name="Shtaket_Tw_PurLiteMatt">Цены!$AB$37</definedName>
    <definedName name="Shtaket_Tw_PurMatt">Цены!$X$37</definedName>
    <definedName name="Shtaket_Tw_Q">Цены!$P$37</definedName>
    <definedName name="Shtaket_Tw_Ql">Цены!$R$37</definedName>
    <definedName name="Shtaket_Tw_QproMatt">Цены!$N$37</definedName>
    <definedName name="Shtaket_Tw_Sat">Цены!$AJ$37</definedName>
    <definedName name="Shtaket_Tw_SatMatt">Цены!$AF$37</definedName>
    <definedName name="Shtaket_Tw_Sf">Цены!$H$37</definedName>
    <definedName name="Shtaket_Tw_Sf_a">Цены!$J$37</definedName>
    <definedName name="Shtaket_Tw_StBarhat">Цены!$AD$37</definedName>
    <definedName name="Shtaket_Tw_Vel">Цены!$T$37</definedName>
    <definedName name="Shtaket_Twf_Atl">Цены!$V$38</definedName>
    <definedName name="Shtaket_Twf_dachPr">Цены!$AX$38</definedName>
    <definedName name="Shtaket_Twf_dachPr_k">Цены!$BB$38</definedName>
    <definedName name="Shtaket_Twf_dachPr_tw">Цены!$BD$38</definedName>
    <definedName name="Shtaket_Twf_dachSk">Цены!$AZ$38</definedName>
    <definedName name="Shtaket_Twf_Dr">Цены!$AH$38</definedName>
    <definedName name="Shtaket_Twf_Pe04">Цены!$AT$38</definedName>
    <definedName name="Shtaket_Twf_Pe045">Цены!$AR$38</definedName>
    <definedName name="Shtaket_Twf_Pe07">Цены!$AP$38</definedName>
    <definedName name="Shtaket_Twf_Pe08">Цены!$AN$38</definedName>
    <definedName name="Shtaket_Twf_PEdp">Цены!$AL$38</definedName>
    <definedName name="Shtaket_Twf_PeMatt04">Цены!$AV$38</definedName>
    <definedName name="Shtaket_Twf_Pt">Цены!$F$38</definedName>
    <definedName name="Shtaket_Twf_Ptdp">Цены!$D$38</definedName>
    <definedName name="Shtaket_Twf_PtRF">Цены!$L$38</definedName>
    <definedName name="Shtaket_Twf_Pur">Цены!$Z$38</definedName>
    <definedName name="Shtaket_Twf_PurLiteMatt">Цены!$AB$38</definedName>
    <definedName name="Shtaket_Twf_PurMatt">Цены!$X$38</definedName>
    <definedName name="Shtaket_Twf_Q">Цены!$P$38</definedName>
    <definedName name="Shtaket_Twf_Ql">Цены!$R$38</definedName>
    <definedName name="Shtaket_Twf_QproMatt">Цены!$N$38</definedName>
    <definedName name="Shtaket_Twf_Sat">Цены!$AJ$38</definedName>
    <definedName name="Shtaket_Twf_SatMatt">Цены!$AF$38</definedName>
    <definedName name="Shtaket_Twf_Sf">Цены!$H$38</definedName>
    <definedName name="Shtaket_Twf_Sf_a">Цены!$J$38</definedName>
    <definedName name="Shtaket_Twf_StBarhat">Цены!$AD$38</definedName>
    <definedName name="Shtaket_Twf_Vel">Цены!$T$38</definedName>
    <definedName name="ShtripsFalz_Atl">Цены!$V$26</definedName>
    <definedName name="ShtripsFalz_dachPr">Цены!$AX$26</definedName>
    <definedName name="ShtripsFalz_dachPr_k">Цены!$BB$26</definedName>
    <definedName name="ShtripsFalz_dachPr_tw">Цены!$BD$26</definedName>
    <definedName name="ShtripsFalz_dachSk">Цены!$AZ$26</definedName>
    <definedName name="ShtripsFalz_Dr">Цены!$AH$26</definedName>
    <definedName name="ShtripsFalz_Pe04">Цены!$AT$26</definedName>
    <definedName name="ShtripsFalz_Pe045">Цены!$AR$26</definedName>
    <definedName name="ShtripsFalz_Pe07">Цены!$AP$26</definedName>
    <definedName name="ShtripsFalz_Pe08">Цены!$AN$26</definedName>
    <definedName name="ShtripsFalz_PEdp">Цены!$AL$26</definedName>
    <definedName name="ShtripsFalz_PeMatt04">Цены!$AV$26</definedName>
    <definedName name="ShtripsFalz_Pt">Цены!$F$26</definedName>
    <definedName name="ShtripsFalz_Ptdp">Цены!$D$26</definedName>
    <definedName name="ShtripsFalz_PtRF">Цены!$L$26</definedName>
    <definedName name="ShtripsFalz_Pur">Цены!$Z$26</definedName>
    <definedName name="ShtripsFalz_PurLiteMatt">Цены!$AB$26</definedName>
    <definedName name="ShtripsFalz_PurMatt">Цены!$X$26</definedName>
    <definedName name="ShtripsFalz_Q">Цены!$P$26</definedName>
    <definedName name="ShtripsFalz_Ql">Цены!$R$26</definedName>
    <definedName name="ShtripsFalz_QproMatt">Цены!$N$26</definedName>
    <definedName name="ShtripsFalz_Sat">Цены!$AJ$26</definedName>
    <definedName name="ShtripsFalz_SatMatt">Цены!$AF$26</definedName>
    <definedName name="ShtripsFalz_Sf">Цены!$H$26</definedName>
    <definedName name="ShtripsFalz_Sf_a">Цены!$J$26</definedName>
    <definedName name="ShtripsFalz_StBarhat">Цены!$AD$26</definedName>
    <definedName name="ShtripsFalz_Vel">Цены!$T$26</definedName>
    <definedName name="ShtripsFalz_Zn035">Цены!$BF$26</definedName>
    <definedName name="ShtripsFalz_Zn04">Цены!$BH$26</definedName>
    <definedName name="ShtripsFalz_Zn045">Цены!$BJ$26</definedName>
    <definedName name="ShtripsFalz_Zn05">Цены!$BL$26</definedName>
    <definedName name="ShtripsFalz_Zn055">Цены!$BN$26</definedName>
    <definedName name="ShtripsFalz_Zn07">Цены!$BP$26</definedName>
    <definedName name="ShtripsFalz_Zn08">Цены!$BR$26</definedName>
    <definedName name="ShtripsFalz_Zn09">Цены!$BT$26</definedName>
    <definedName name="Sofit_Atl">Цены!$V$11</definedName>
    <definedName name="Sofit_dachPr">Цены!$AX$11</definedName>
    <definedName name="Sofit_dachPr_k">Цены!$BB$11</definedName>
    <definedName name="Sofit_dachPr_tw">Цены!$BD$11</definedName>
    <definedName name="Sofit_dachSk">Цены!$AZ$11</definedName>
    <definedName name="Sofit_Dr">Цены!$AH$11</definedName>
    <definedName name="Sofit_Pe04">Цены!$AT$11</definedName>
    <definedName name="Sofit_Pe045">Цены!$AR$11</definedName>
    <definedName name="Sofit_Pe07">Цены!$AP$11</definedName>
    <definedName name="Sofit_Pe08">Цены!$AN$11</definedName>
    <definedName name="Sofit_PEdp">Цены!$AL$11</definedName>
    <definedName name="Sofit_PeMatt04">Цены!$AV$11</definedName>
    <definedName name="Sofit_Pt">Цены!$F$11</definedName>
    <definedName name="Sofit_Ptdp">Цены!$D$11</definedName>
    <definedName name="Sofit_PtRF">Цены!$L$11</definedName>
    <definedName name="Sofit_Pur">Цены!$Z$11</definedName>
    <definedName name="Sofit_PurLiteMatt">Цены!$AB$11</definedName>
    <definedName name="Sofit_PurMatt">Цены!$X$11</definedName>
    <definedName name="Sofit_Q">Цены!$P$11</definedName>
    <definedName name="Sofit_Ql">Цены!$R$11</definedName>
    <definedName name="Sofit_QproMatt">Цены!$N$11</definedName>
    <definedName name="Sofit_Sat">Цены!$AJ$11</definedName>
    <definedName name="Sofit_SatMatt">Цены!$AF$11</definedName>
    <definedName name="Sofit_Sf">Цены!$H$11</definedName>
    <definedName name="Sofit_Sf_a">Цены!$J$11</definedName>
    <definedName name="Sofit_StBarhat">Цены!$AD$11</definedName>
    <definedName name="Sofit_Vel">Цены!$T$11</definedName>
    <definedName name="Z_A22E8694_B07B_4E99_AA25_83A76CC13B05_.wvu.Cols" localSheetId="3" hidden="1">'5_3_Панельные ограждения'!#REF!</definedName>
    <definedName name="Z_A22E8694_B07B_4E99_AA25_83A76CC13B05_.wvu.PrintArea" localSheetId="1" hidden="1">'5_1_ЗАБОРЫ'!$A$2:$AG$87</definedName>
    <definedName name="Z_A22E8694_B07B_4E99_AA25_83A76CC13B05_.wvu.PrintArea" localSheetId="2" hidden="1">'5_2_Доборные эл-ты ограждений'!$A$2:$V$55</definedName>
    <definedName name="Z_A22E8694_B07B_4E99_AA25_83A76CC13B05_.wvu.PrintArea" localSheetId="3" hidden="1">'5_3_Панельные ограждения'!$A$2:$J$56</definedName>
    <definedName name="Z_A22E8694_B07B_4E99_AA25_83A76CC13B05_.wvu.PrintArea" localSheetId="4" hidden="1">'5_4_Эл-ты панельных ограждений'!$A$2:$S$55</definedName>
    <definedName name="Z_A22E8694_B07B_4E99_AA25_83A76CC13B05_.wvu.PrintArea" localSheetId="5" hidden="1">'5_5_Модульные ограждения GL'!$A$2:$Y$45</definedName>
    <definedName name="Z_A22E8694_B07B_4E99_AA25_83A76CC13B05_.wvu.PrintArea" localSheetId="6" hidden="1">'5_6_Временные огр и Рулон сетка'!$A$2:$M$33</definedName>
    <definedName name="Z_A22E8694_B07B_4E99_AA25_83A76CC13B05_.wvu.PrintArea" localSheetId="7" hidden="1">'5_7_Откат. ворота'!$A$2:$S$28</definedName>
    <definedName name="Z_A22E8694_B07B_4E99_AA25_83A76CC13B05_.wvu.PrintArea" localSheetId="8" hidden="1">'5_8_Распашные ворота и калитки'!$A$2:$P$41</definedName>
    <definedName name="Z_A22E8694_B07B_4E99_AA25_83A76CC13B05_.wvu.PrintArea" localSheetId="9" hidden="1">'5_9_Эл-ты ограждений Locinox'!$A$2:$Y$39</definedName>
    <definedName name="Z_A22E8694_B07B_4E99_AA25_83A76CC13B05_.wvu.PrintArea" localSheetId="10" hidden="1">'7_3_Таблички и Флюгеры'!$A$2:$M$45</definedName>
    <definedName name="Z_A22E8694_B07B_4E99_AA25_83A76CC13B05_.wvu.PrintArea" localSheetId="11" hidden="1">'8_УПАКОВКА'!$A$2:$N$71</definedName>
    <definedName name="Z_A22E8694_B07B_4E99_AA25_83A76CC13B05_.wvu.PrintArea" localSheetId="0" hidden="1">'АКЦИИ на металл'!$A$2:$B$4</definedName>
    <definedName name="Z_F69A7076_9F1C_4D95_80EA_B4A9F6043254_.wvu.Cols" localSheetId="3" hidden="1">'5_3_Панельные ограждения'!#REF!</definedName>
    <definedName name="Z_F69A7076_9F1C_4D95_80EA_B4A9F6043254_.wvu.PrintArea" localSheetId="1" hidden="1">'5_1_ЗАБОРЫ'!$A$2:$AG$87</definedName>
    <definedName name="Z_F69A7076_9F1C_4D95_80EA_B4A9F6043254_.wvu.PrintArea" localSheetId="2" hidden="1">'5_2_Доборные эл-ты ограждений'!$A$2:$V$55</definedName>
    <definedName name="Z_F69A7076_9F1C_4D95_80EA_B4A9F6043254_.wvu.PrintArea" localSheetId="3" hidden="1">'5_3_Панельные ограждения'!$A$2:$J$56</definedName>
    <definedName name="Z_F69A7076_9F1C_4D95_80EA_B4A9F6043254_.wvu.PrintArea" localSheetId="4" hidden="1">'5_4_Эл-ты панельных ограждений'!$A$2:$S$55</definedName>
    <definedName name="Z_F69A7076_9F1C_4D95_80EA_B4A9F6043254_.wvu.PrintArea" localSheetId="5" hidden="1">'5_5_Модульные ограждения GL'!$A$2:$Y$45</definedName>
    <definedName name="Z_F69A7076_9F1C_4D95_80EA_B4A9F6043254_.wvu.PrintArea" localSheetId="6" hidden="1">'5_6_Временные огр и Рулон сетка'!$A$2:$M$33</definedName>
    <definedName name="Z_F69A7076_9F1C_4D95_80EA_B4A9F6043254_.wvu.PrintArea" localSheetId="7" hidden="1">'5_7_Откат. ворота'!$A$2:$S$28</definedName>
    <definedName name="Z_F69A7076_9F1C_4D95_80EA_B4A9F6043254_.wvu.PrintArea" localSheetId="8" hidden="1">'5_8_Распашные ворота и калитки'!$A$2:$P$41</definedName>
    <definedName name="Z_F69A7076_9F1C_4D95_80EA_B4A9F6043254_.wvu.PrintArea" localSheetId="9" hidden="1">'5_9_Эл-ты ограждений Locinox'!$A$2:$Y$39</definedName>
    <definedName name="Z_F69A7076_9F1C_4D95_80EA_B4A9F6043254_.wvu.PrintArea" localSheetId="10" hidden="1">'7_3_Таблички и Флюгеры'!$A$2:$M$45</definedName>
    <definedName name="Z_F69A7076_9F1C_4D95_80EA_B4A9F6043254_.wvu.PrintArea" localSheetId="11" hidden="1">'8_УПАКОВКА'!$A$2:$N$71</definedName>
    <definedName name="Z_F69A7076_9F1C_4D95_80EA_B4A9F6043254_.wvu.PrintArea" localSheetId="0" hidden="1">'АКЦИИ на металл'!$A$2:$B$4</definedName>
    <definedName name="_xlnm.Print_Area" localSheetId="1">'5_1_ЗАБОРЫ'!$A$2:$AJ$89</definedName>
    <definedName name="_xlnm.Print_Area" localSheetId="2">'5_2_Доборные эл-ты ограждений'!$A$2:$W$47</definedName>
    <definedName name="_xlnm.Print_Area" localSheetId="3">'5_3_Панельные ограждения'!$A$2:$J$57</definedName>
    <definedName name="_xlnm.Print_Area" localSheetId="4">'5_4_Эл-ты панельных ограждений'!$A$2:$S$52</definedName>
    <definedName name="_xlnm.Print_Area" localSheetId="5">'5_5_Модульные ограждения GL'!$A$2:$Y$45</definedName>
    <definedName name="_xlnm.Print_Area" localSheetId="6">'5_6_Временные огр и Рулон сетка'!$A$2:$M$34</definedName>
    <definedName name="_xlnm.Print_Area" localSheetId="7">'5_7_Откат. ворота'!$A$2:$S$29</definedName>
    <definedName name="_xlnm.Print_Area" localSheetId="8">'5_8_Распашные ворота и калитки'!$A$2:$R$41</definedName>
    <definedName name="_xlnm.Print_Area" localSheetId="9">'5_9_Эл-ты ограждений Locinox'!$A$2:$Y$43</definedName>
    <definedName name="_xlnm.Print_Area" localSheetId="10">'7_3_Таблички и Флюгеры'!$A$2:$I$43</definedName>
    <definedName name="_xlnm.Print_Area" localSheetId="11">'8_УПАКОВКА'!$A$2:$N$72</definedName>
    <definedName name="_xlnm.Print_Area" localSheetId="0">'АКЦИИ на металл'!$A$2:$H$40</definedName>
  </definedNames>
  <calcPr calcId="124519"/>
</workbook>
</file>

<file path=xl/calcChain.xml><?xml version="1.0" encoding="utf-8"?>
<calcChain xmlns="http://schemas.openxmlformats.org/spreadsheetml/2006/main">
  <c r="D46" i="842"/>
  <c r="D45"/>
  <c r="D42"/>
  <c r="C36"/>
  <c r="V35"/>
  <c r="U35"/>
  <c r="T35"/>
  <c r="S35"/>
  <c r="R35"/>
  <c r="Q35"/>
  <c r="P35"/>
  <c r="O35"/>
  <c r="N35"/>
  <c r="M35"/>
  <c r="L35"/>
  <c r="K35"/>
  <c r="J35"/>
  <c r="I35"/>
  <c r="H35"/>
  <c r="G35"/>
  <c r="F35"/>
  <c r="E35"/>
  <c r="V34"/>
  <c r="U34"/>
  <c r="T34"/>
  <c r="S34"/>
  <c r="R34"/>
  <c r="Q34"/>
  <c r="P34"/>
  <c r="O34"/>
  <c r="N34"/>
  <c r="M34"/>
  <c r="L34"/>
  <c r="K34"/>
  <c r="J34"/>
  <c r="I34"/>
  <c r="H34"/>
  <c r="G34"/>
  <c r="F34"/>
  <c r="E34"/>
  <c r="V33"/>
  <c r="U33"/>
  <c r="T33"/>
  <c r="S33"/>
  <c r="R33"/>
  <c r="Q33"/>
  <c r="P33"/>
  <c r="O33"/>
  <c r="N33"/>
  <c r="M33"/>
  <c r="L33"/>
  <c r="K33"/>
  <c r="J33"/>
  <c r="I33"/>
  <c r="H33"/>
  <c r="G33"/>
  <c r="F33"/>
  <c r="E33"/>
  <c r="V32"/>
  <c r="U32"/>
  <c r="T32"/>
  <c r="S32"/>
  <c r="R32"/>
  <c r="Q32"/>
  <c r="P32"/>
  <c r="O32"/>
  <c r="N32"/>
  <c r="M32"/>
  <c r="L32"/>
  <c r="K32"/>
  <c r="J32"/>
  <c r="I32"/>
  <c r="H32"/>
  <c r="G32"/>
  <c r="F32"/>
  <c r="E32"/>
  <c r="V31"/>
  <c r="U31"/>
  <c r="T31"/>
  <c r="S31"/>
  <c r="R31"/>
  <c r="Q31"/>
  <c r="P31"/>
  <c r="O31"/>
  <c r="N31"/>
  <c r="M31"/>
  <c r="L31"/>
  <c r="K31"/>
  <c r="J31"/>
  <c r="I31"/>
  <c r="H31"/>
  <c r="G31"/>
  <c r="F31"/>
  <c r="E31"/>
  <c r="V30"/>
  <c r="U30"/>
  <c r="T30"/>
  <c r="S30"/>
  <c r="R30"/>
  <c r="Q30"/>
  <c r="P30"/>
  <c r="O30"/>
  <c r="N30"/>
  <c r="M30"/>
  <c r="L30"/>
  <c r="K30"/>
  <c r="J30"/>
  <c r="I30"/>
  <c r="H30"/>
  <c r="G30"/>
  <c r="F30"/>
  <c r="E30"/>
  <c r="C29"/>
  <c r="V28"/>
  <c r="U28"/>
  <c r="T28"/>
  <c r="S28"/>
  <c r="R28"/>
  <c r="Q28"/>
  <c r="P28"/>
  <c r="O28"/>
  <c r="N28"/>
  <c r="M28"/>
  <c r="L28"/>
  <c r="K28"/>
  <c r="J28"/>
  <c r="I28"/>
  <c r="H28"/>
  <c r="G28"/>
  <c r="F28"/>
  <c r="E28"/>
  <c r="V27"/>
  <c r="U27"/>
  <c r="T27"/>
  <c r="S27"/>
  <c r="R27"/>
  <c r="Q27"/>
  <c r="P27"/>
  <c r="O27"/>
  <c r="N27"/>
  <c r="M27"/>
  <c r="L27"/>
  <c r="K27"/>
  <c r="J27"/>
  <c r="I27"/>
  <c r="H27"/>
  <c r="G27"/>
  <c r="F27"/>
  <c r="E27"/>
  <c r="V26"/>
  <c r="U26"/>
  <c r="T26"/>
  <c r="S26"/>
  <c r="R26"/>
  <c r="Q26"/>
  <c r="P26"/>
  <c r="O26"/>
  <c r="N26"/>
  <c r="M26"/>
  <c r="L26"/>
  <c r="K26"/>
  <c r="J26"/>
  <c r="I26"/>
  <c r="H26"/>
  <c r="G26"/>
  <c r="F26"/>
  <c r="E26"/>
  <c r="V25"/>
  <c r="U25"/>
  <c r="T25"/>
  <c r="S25"/>
  <c r="R25"/>
  <c r="Q25"/>
  <c r="P25"/>
  <c r="O25"/>
  <c r="N25"/>
  <c r="M25"/>
  <c r="L25"/>
  <c r="K25"/>
  <c r="J25"/>
  <c r="I25"/>
  <c r="H25"/>
  <c r="G25"/>
  <c r="F25"/>
  <c r="E25"/>
  <c r="V24"/>
  <c r="U24"/>
  <c r="T24"/>
  <c r="S24"/>
  <c r="R24"/>
  <c r="Q24"/>
  <c r="P24"/>
  <c r="O24"/>
  <c r="N24"/>
  <c r="M24"/>
  <c r="L24"/>
  <c r="K24"/>
  <c r="J24"/>
  <c r="I24"/>
  <c r="H24"/>
  <c r="G24"/>
  <c r="F24"/>
  <c r="E24"/>
  <c r="V23"/>
  <c r="U23"/>
  <c r="T23"/>
  <c r="S23"/>
  <c r="R23"/>
  <c r="Q23"/>
  <c r="P23"/>
  <c r="O23"/>
  <c r="N23"/>
  <c r="M23"/>
  <c r="L23"/>
  <c r="K23"/>
  <c r="J23"/>
  <c r="I23"/>
  <c r="H23"/>
  <c r="G23"/>
  <c r="F23"/>
  <c r="E23"/>
  <c r="W17"/>
  <c r="V17"/>
  <c r="U17"/>
  <c r="T17"/>
  <c r="S17"/>
  <c r="R17"/>
  <c r="Q17"/>
  <c r="P17"/>
  <c r="O17"/>
  <c r="N17"/>
  <c r="M17"/>
  <c r="L17"/>
  <c r="K17"/>
  <c r="J17"/>
  <c r="I17"/>
  <c r="H17"/>
  <c r="G17"/>
  <c r="F17"/>
  <c r="E17"/>
  <c r="D17"/>
  <c r="V9"/>
  <c r="U9"/>
  <c r="T9"/>
  <c r="S9"/>
  <c r="R9"/>
  <c r="Q9"/>
  <c r="P9"/>
  <c r="O9"/>
  <c r="N9"/>
  <c r="M9"/>
  <c r="L9"/>
  <c r="K9"/>
  <c r="J9"/>
  <c r="I9"/>
  <c r="H9"/>
  <c r="G9"/>
  <c r="F9"/>
  <c r="E9"/>
  <c r="W8"/>
  <c r="V8"/>
  <c r="U8"/>
  <c r="T8"/>
  <c r="S8"/>
  <c r="R8"/>
  <c r="Q8"/>
  <c r="P8"/>
  <c r="O8"/>
  <c r="N8"/>
  <c r="M8"/>
  <c r="L8"/>
  <c r="K8"/>
  <c r="J8"/>
  <c r="I8"/>
  <c r="H8"/>
  <c r="G8"/>
  <c r="F8"/>
  <c r="E8"/>
  <c r="D8"/>
  <c r="W7"/>
  <c r="V7"/>
  <c r="U7"/>
  <c r="T7"/>
  <c r="S7"/>
  <c r="R7"/>
  <c r="Q7"/>
  <c r="P7"/>
  <c r="O7"/>
  <c r="N7"/>
  <c r="M7"/>
  <c r="L7"/>
  <c r="K7"/>
  <c r="J7"/>
  <c r="I7"/>
  <c r="H7"/>
  <c r="G7"/>
  <c r="F7"/>
  <c r="E7"/>
  <c r="D7"/>
  <c r="F38" i="836"/>
  <c r="F36"/>
  <c r="F34"/>
  <c r="F32"/>
  <c r="F29"/>
  <c r="F26"/>
  <c r="Q24"/>
  <c r="Q23"/>
  <c r="F23"/>
  <c r="R19"/>
  <c r="Q19"/>
  <c r="P19"/>
  <c r="O19"/>
  <c r="P18"/>
  <c r="O18"/>
  <c r="F18"/>
  <c r="P16"/>
  <c r="O16"/>
  <c r="H16"/>
  <c r="G16"/>
  <c r="F16"/>
  <c r="F12"/>
  <c r="O11"/>
  <c r="F11"/>
  <c r="O10"/>
  <c r="F10"/>
  <c r="O9"/>
  <c r="F9"/>
  <c r="O8"/>
  <c r="F8"/>
  <c r="S25" i="835"/>
  <c r="S24"/>
  <c r="S23"/>
  <c r="I22"/>
  <c r="S21"/>
  <c r="S20"/>
  <c r="I18"/>
  <c r="S17"/>
  <c r="S16"/>
  <c r="I16"/>
  <c r="P10"/>
  <c r="O10"/>
  <c r="P9"/>
  <c r="O9"/>
  <c r="F9"/>
  <c r="E9"/>
  <c r="I31" i="834"/>
  <c r="I30"/>
  <c r="I29"/>
  <c r="J24"/>
  <c r="J23"/>
  <c r="J21"/>
  <c r="J20"/>
  <c r="J16"/>
  <c r="J13"/>
  <c r="J12"/>
  <c r="J11"/>
  <c r="J10"/>
  <c r="J9"/>
  <c r="Y43" i="833"/>
  <c r="Y42"/>
  <c r="Y41"/>
  <c r="Y40"/>
  <c r="W39"/>
  <c r="Y38"/>
  <c r="W37"/>
  <c r="Y36"/>
  <c r="W35"/>
  <c r="W34"/>
  <c r="W33"/>
  <c r="W32"/>
  <c r="W31"/>
  <c r="Y11" s="1"/>
  <c r="Z30"/>
  <c r="W29"/>
  <c r="Y28"/>
  <c r="W27"/>
  <c r="Y26"/>
  <c r="W25"/>
  <c r="W24"/>
  <c r="Y23"/>
  <c r="L11" s="1"/>
  <c r="W22"/>
  <c r="J11" s="1"/>
  <c r="W21"/>
  <c r="L16" s="1"/>
  <c r="W20"/>
  <c r="X11" s="1"/>
  <c r="I49" i="832"/>
  <c r="I47"/>
  <c r="I45"/>
  <c r="I43"/>
  <c r="I42"/>
  <c r="S41"/>
  <c r="I41"/>
  <c r="S39"/>
  <c r="S38"/>
  <c r="I38"/>
  <c r="S37"/>
  <c r="S36"/>
  <c r="S34"/>
  <c r="S32"/>
  <c r="S31"/>
  <c r="I31"/>
  <c r="S30"/>
  <c r="I30"/>
  <c r="S29"/>
  <c r="I29"/>
  <c r="S28"/>
  <c r="I28"/>
  <c r="I27"/>
  <c r="S26"/>
  <c r="I26"/>
  <c r="S25"/>
  <c r="I25"/>
  <c r="I24"/>
  <c r="I23"/>
  <c r="I22"/>
  <c r="S21"/>
  <c r="I21"/>
  <c r="I20"/>
  <c r="I19"/>
  <c r="S18"/>
  <c r="I17"/>
  <c r="S16"/>
  <c r="I16"/>
  <c r="S15"/>
  <c r="I15"/>
  <c r="S14"/>
  <c r="I14"/>
  <c r="I13"/>
  <c r="S12"/>
  <c r="I12"/>
  <c r="I11"/>
  <c r="I10"/>
  <c r="S9"/>
  <c r="I9"/>
  <c r="S8"/>
  <c r="I8"/>
  <c r="I51" i="831"/>
  <c r="I50"/>
  <c r="I49"/>
  <c r="I48"/>
  <c r="I45"/>
  <c r="H45"/>
  <c r="I44"/>
  <c r="H44"/>
  <c r="I43"/>
  <c r="H43"/>
  <c r="I42"/>
  <c r="H42"/>
  <c r="I41"/>
  <c r="H41"/>
  <c r="I40"/>
  <c r="H40"/>
  <c r="I39"/>
  <c r="H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H14"/>
  <c r="H13"/>
  <c r="H12"/>
  <c r="H11"/>
  <c r="H10"/>
  <c r="H9"/>
  <c r="AF46" i="136"/>
  <c r="AE46"/>
  <c r="AF45"/>
  <c r="AE45"/>
  <c r="AF44"/>
  <c r="AE44"/>
  <c r="AF43"/>
  <c r="AE43"/>
  <c r="AF42"/>
  <c r="AE42"/>
  <c r="AF41"/>
  <c r="AE41"/>
  <c r="AF40"/>
  <c r="AE40"/>
  <c r="E26" i="639"/>
  <c r="E25"/>
  <c r="E24"/>
  <c r="E23"/>
  <c r="E22"/>
  <c r="E21"/>
  <c r="E19"/>
  <c r="E18"/>
  <c r="E17"/>
  <c r="E16"/>
  <c r="E14"/>
  <c r="E13"/>
  <c r="B31"/>
  <c r="B30"/>
  <c r="B29"/>
  <c r="B28"/>
  <c r="B27"/>
  <c r="B26"/>
  <c r="B24"/>
  <c r="B23"/>
  <c r="B22"/>
  <c r="B21"/>
  <c r="B20"/>
  <c r="B18"/>
  <c r="B17"/>
  <c r="B16"/>
  <c r="B15"/>
  <c r="B13"/>
  <c r="B14" s="1"/>
  <c r="G29" i="136"/>
  <c r="G28"/>
  <c r="G27"/>
  <c r="G26"/>
  <c r="G25"/>
  <c r="G24"/>
  <c r="G22"/>
  <c r="G17"/>
  <c r="G16"/>
  <c r="G15"/>
  <c r="G14"/>
  <c r="G13"/>
  <c r="G12"/>
  <c r="F29"/>
  <c r="F28"/>
  <c r="F27"/>
  <c r="F26"/>
  <c r="F25"/>
  <c r="F24"/>
  <c r="F22"/>
  <c r="F17"/>
  <c r="F16"/>
  <c r="F15"/>
  <c r="F14"/>
  <c r="F13"/>
  <c r="F12"/>
  <c r="AC46"/>
  <c r="AC45"/>
  <c r="AC44"/>
  <c r="AC43"/>
  <c r="AC42"/>
  <c r="AC41"/>
  <c r="AC40"/>
  <c r="AA46"/>
  <c r="AA45"/>
  <c r="AA44"/>
  <c r="AA43"/>
  <c r="AA42"/>
  <c r="AA41"/>
  <c r="AA40"/>
  <c r="Z46"/>
  <c r="Z45"/>
  <c r="Z44"/>
  <c r="Z43"/>
  <c r="Z42"/>
  <c r="Z41"/>
  <c r="Z40"/>
  <c r="X46"/>
  <c r="X45"/>
  <c r="X44"/>
  <c r="X43"/>
  <c r="X42"/>
  <c r="X41"/>
  <c r="X40"/>
  <c r="V46"/>
  <c r="V45"/>
  <c r="V44"/>
  <c r="V43"/>
  <c r="V42"/>
  <c r="V41"/>
  <c r="V40"/>
  <c r="U46"/>
  <c r="U45"/>
  <c r="U44"/>
  <c r="U43"/>
  <c r="U42"/>
  <c r="U41"/>
  <c r="U40"/>
  <c r="S46"/>
  <c r="S45"/>
  <c r="S44"/>
  <c r="S43"/>
  <c r="S42"/>
  <c r="S41"/>
  <c r="S40"/>
  <c r="R46"/>
  <c r="R45"/>
  <c r="R44"/>
  <c r="R43"/>
  <c r="R42"/>
  <c r="R41"/>
  <c r="R40"/>
  <c r="P46"/>
  <c r="P45"/>
  <c r="P44"/>
  <c r="P43"/>
  <c r="P42"/>
  <c r="P41"/>
  <c r="P40"/>
  <c r="N46"/>
  <c r="N45"/>
  <c r="N44"/>
  <c r="N43"/>
  <c r="N42"/>
  <c r="N41"/>
  <c r="N40"/>
  <c r="M46"/>
  <c r="M45"/>
  <c r="M44"/>
  <c r="M43"/>
  <c r="M42"/>
  <c r="M41"/>
  <c r="M40"/>
  <c r="L46"/>
  <c r="L45"/>
  <c r="L44"/>
  <c r="L43"/>
  <c r="L42"/>
  <c r="L41"/>
  <c r="L40"/>
  <c r="K46"/>
  <c r="K45"/>
  <c r="K44"/>
  <c r="K43"/>
  <c r="K42"/>
  <c r="K41"/>
  <c r="K40"/>
  <c r="J46"/>
  <c r="J45"/>
  <c r="J44"/>
  <c r="J43"/>
  <c r="J42"/>
  <c r="J41"/>
  <c r="J40"/>
  <c r="I46"/>
  <c r="I45"/>
  <c r="I44"/>
  <c r="I43"/>
  <c r="I42"/>
  <c r="I41"/>
  <c r="I40"/>
  <c r="G46"/>
  <c r="G45"/>
  <c r="G44"/>
  <c r="G43"/>
  <c r="G42"/>
  <c r="G41"/>
  <c r="G40"/>
  <c r="E46"/>
  <c r="E45"/>
  <c r="E44"/>
  <c r="E43"/>
  <c r="E42"/>
  <c r="E41"/>
  <c r="E40"/>
  <c r="D46"/>
  <c r="D45"/>
  <c r="D44"/>
  <c r="D43"/>
  <c r="D42"/>
  <c r="D41"/>
  <c r="D40"/>
  <c r="C46"/>
  <c r="C45"/>
  <c r="C44"/>
  <c r="C43"/>
  <c r="C42"/>
  <c r="C41"/>
  <c r="C40"/>
  <c r="B47"/>
  <c r="B46"/>
  <c r="B45"/>
  <c r="B44"/>
  <c r="B43"/>
  <c r="B42"/>
  <c r="B41"/>
  <c r="B40"/>
  <c r="D37" i="809"/>
  <c r="D36"/>
  <c r="D35"/>
  <c r="I34"/>
  <c r="D34"/>
  <c r="I33"/>
  <c r="D33"/>
  <c r="I32"/>
  <c r="D30"/>
  <c r="I29"/>
  <c r="D28"/>
  <c r="I27"/>
  <c r="I25"/>
  <c r="D25"/>
  <c r="I23"/>
  <c r="D22"/>
  <c r="I21"/>
  <c r="D20"/>
  <c r="I19"/>
  <c r="I18"/>
  <c r="I17"/>
  <c r="D17"/>
  <c r="D8"/>
  <c r="D7"/>
  <c r="I6"/>
  <c r="D6"/>
  <c r="I5"/>
  <c r="D5"/>
  <c r="AF29" i="136"/>
  <c r="AE29"/>
  <c r="AF28"/>
  <c r="AE28"/>
  <c r="AC29"/>
  <c r="AC28"/>
  <c r="Z29"/>
  <c r="Z28"/>
  <c r="X29"/>
  <c r="X28"/>
  <c r="V29"/>
  <c r="U29"/>
  <c r="V28"/>
  <c r="U28"/>
  <c r="S29"/>
  <c r="R29"/>
  <c r="S28"/>
  <c r="R28"/>
  <c r="P29"/>
  <c r="P28"/>
  <c r="N29"/>
  <c r="M29"/>
  <c r="L29"/>
  <c r="K29"/>
  <c r="J29"/>
  <c r="I29"/>
  <c r="H29"/>
  <c r="E29"/>
  <c r="D29"/>
  <c r="N28"/>
  <c r="M28"/>
  <c r="L28"/>
  <c r="K28"/>
  <c r="J28"/>
  <c r="I28"/>
  <c r="H28"/>
  <c r="E28"/>
  <c r="D28"/>
  <c r="J43" i="791"/>
  <c r="M42"/>
  <c r="L42"/>
  <c r="K42"/>
  <c r="J41"/>
  <c r="J40"/>
  <c r="N40"/>
  <c r="N39"/>
  <c r="J39"/>
  <c r="N38"/>
  <c r="J37"/>
  <c r="L37" s="1"/>
  <c r="J34"/>
  <c r="N34" s="1"/>
  <c r="N32"/>
  <c r="L31"/>
  <c r="K31"/>
  <c r="J29"/>
  <c r="N29" s="1"/>
  <c r="K28"/>
  <c r="L27"/>
  <c r="K27"/>
  <c r="J27"/>
  <c r="J25"/>
  <c r="M25"/>
  <c r="J24"/>
  <c r="N24" s="1"/>
  <c r="J23"/>
  <c r="M23"/>
  <c r="J22"/>
  <c r="L22" s="1"/>
  <c r="L21"/>
  <c r="K21"/>
  <c r="J19"/>
  <c r="L19" s="1"/>
  <c r="J18"/>
  <c r="L17"/>
  <c r="K17"/>
  <c r="J16"/>
  <c r="M16" s="1"/>
  <c r="J14"/>
  <c r="J13"/>
  <c r="K13" s="1"/>
  <c r="L12"/>
  <c r="K12"/>
  <c r="L11"/>
  <c r="K11"/>
  <c r="J10"/>
  <c r="J9"/>
  <c r="N9"/>
  <c r="J8"/>
  <c r="N8" s="1"/>
  <c r="J7"/>
  <c r="N7"/>
  <c r="Y27" i="788"/>
  <c r="Y26"/>
  <c r="Y24"/>
  <c r="L24"/>
  <c r="Y22"/>
  <c r="L22"/>
  <c r="Y20"/>
  <c r="Y18"/>
  <c r="L18"/>
  <c r="L17"/>
  <c r="Y16"/>
  <c r="Y15"/>
  <c r="Y14"/>
  <c r="Y13"/>
  <c r="L13"/>
  <c r="Y12"/>
  <c r="L12"/>
  <c r="Y10"/>
  <c r="Y8"/>
  <c r="L8"/>
  <c r="J74" i="136"/>
  <c r="A73"/>
  <c r="A72"/>
  <c r="M66"/>
  <c r="K66"/>
  <c r="H66"/>
  <c r="D66"/>
  <c r="B66"/>
  <c r="AF64"/>
  <c r="AE33"/>
  <c r="AC33"/>
  <c r="Z33"/>
  <c r="L33"/>
  <c r="D33"/>
  <c r="AE32"/>
  <c r="AC32"/>
  <c r="Z32"/>
  <c r="L32"/>
  <c r="D32"/>
  <c r="AE31"/>
  <c r="AC31"/>
  <c r="Z31"/>
  <c r="L31"/>
  <c r="D31"/>
  <c r="AE30"/>
  <c r="AC30"/>
  <c r="Z30"/>
  <c r="L30"/>
  <c r="D30"/>
  <c r="AC27"/>
  <c r="Z27"/>
  <c r="V27"/>
  <c r="H27"/>
  <c r="E27"/>
  <c r="D27"/>
  <c r="AC26"/>
  <c r="Z26"/>
  <c r="V26"/>
  <c r="H26"/>
  <c r="E26"/>
  <c r="D26"/>
  <c r="AF25"/>
  <c r="AE25"/>
  <c r="AC25"/>
  <c r="Z25"/>
  <c r="X25"/>
  <c r="V25"/>
  <c r="U25"/>
  <c r="S25"/>
  <c r="R25"/>
  <c r="P25"/>
  <c r="N25"/>
  <c r="M25"/>
  <c r="L25"/>
  <c r="K25"/>
  <c r="J25"/>
  <c r="I25"/>
  <c r="H25"/>
  <c r="E25"/>
  <c r="D25"/>
  <c r="AF24"/>
  <c r="AE24"/>
  <c r="AC24"/>
  <c r="Z24"/>
  <c r="X24"/>
  <c r="V24"/>
  <c r="U24"/>
  <c r="S24"/>
  <c r="R24"/>
  <c r="P24"/>
  <c r="N24"/>
  <c r="M24"/>
  <c r="L24"/>
  <c r="K24"/>
  <c r="J24"/>
  <c r="I24"/>
  <c r="H24"/>
  <c r="E24"/>
  <c r="D24"/>
  <c r="AG22"/>
  <c r="AF22"/>
  <c r="AE22"/>
  <c r="AC22"/>
  <c r="AB22"/>
  <c r="AA22"/>
  <c r="Z22"/>
  <c r="X22"/>
  <c r="V22"/>
  <c r="U22"/>
  <c r="S22"/>
  <c r="R22"/>
  <c r="P22"/>
  <c r="N22"/>
  <c r="M22"/>
  <c r="L22"/>
  <c r="K22"/>
  <c r="J22"/>
  <c r="I22"/>
  <c r="H22"/>
  <c r="E22"/>
  <c r="D22"/>
  <c r="AB20"/>
  <c r="AA20"/>
  <c r="AB19"/>
  <c r="AA19"/>
  <c r="X19"/>
  <c r="U19"/>
  <c r="S19"/>
  <c r="R19"/>
  <c r="P19"/>
  <c r="N19"/>
  <c r="M19"/>
  <c r="L19"/>
  <c r="K19"/>
  <c r="J19"/>
  <c r="I19"/>
  <c r="AB18"/>
  <c r="AA18"/>
  <c r="X18"/>
  <c r="U18"/>
  <c r="S18"/>
  <c r="R18"/>
  <c r="P18"/>
  <c r="N18"/>
  <c r="M18"/>
  <c r="L18"/>
  <c r="K18"/>
  <c r="J18"/>
  <c r="I18"/>
  <c r="AF17"/>
  <c r="AE17"/>
  <c r="AC17"/>
  <c r="AB17"/>
  <c r="Z17"/>
  <c r="X17"/>
  <c r="V17"/>
  <c r="U17"/>
  <c r="S17"/>
  <c r="R17"/>
  <c r="P17"/>
  <c r="N17"/>
  <c r="M17"/>
  <c r="L17"/>
  <c r="K17"/>
  <c r="J17"/>
  <c r="I17"/>
  <c r="H17"/>
  <c r="E17"/>
  <c r="D17"/>
  <c r="AH16"/>
  <c r="AG16"/>
  <c r="AF16"/>
  <c r="AE16"/>
  <c r="AC16"/>
  <c r="AB16"/>
  <c r="Z16"/>
  <c r="X16"/>
  <c r="V16"/>
  <c r="U16"/>
  <c r="S16"/>
  <c r="R16"/>
  <c r="P16"/>
  <c r="N16"/>
  <c r="M16"/>
  <c r="L16"/>
  <c r="K16"/>
  <c r="J16"/>
  <c r="I16"/>
  <c r="H16"/>
  <c r="E16"/>
  <c r="D16"/>
  <c r="AF15"/>
  <c r="AC15"/>
  <c r="Z15"/>
  <c r="X15"/>
  <c r="V15"/>
  <c r="U15"/>
  <c r="S15"/>
  <c r="R15"/>
  <c r="P15"/>
  <c r="N15"/>
  <c r="M15"/>
  <c r="L15"/>
  <c r="K15"/>
  <c r="J15"/>
  <c r="I15"/>
  <c r="H15"/>
  <c r="E15"/>
  <c r="D15"/>
  <c r="AG14"/>
  <c r="AF14"/>
  <c r="AE14"/>
  <c r="AC14"/>
  <c r="AB14"/>
  <c r="Z14"/>
  <c r="X14"/>
  <c r="V14"/>
  <c r="U14"/>
  <c r="S14"/>
  <c r="R14"/>
  <c r="P14"/>
  <c r="N14"/>
  <c r="M14"/>
  <c r="L14"/>
  <c r="K14"/>
  <c r="J14"/>
  <c r="I14"/>
  <c r="H14"/>
  <c r="E14"/>
  <c r="D14"/>
  <c r="AF13"/>
  <c r="AE13"/>
  <c r="AC13"/>
  <c r="Z13"/>
  <c r="X13"/>
  <c r="V13"/>
  <c r="U13"/>
  <c r="S13"/>
  <c r="R13"/>
  <c r="P13"/>
  <c r="N13"/>
  <c r="M13"/>
  <c r="L13"/>
  <c r="K13"/>
  <c r="J13"/>
  <c r="I13"/>
  <c r="H13"/>
  <c r="E13"/>
  <c r="D13"/>
  <c r="AJ12"/>
  <c r="AI12"/>
  <c r="AH12"/>
  <c r="AG12"/>
  <c r="AF12"/>
  <c r="AE12"/>
  <c r="AD12"/>
  <c r="AC12"/>
  <c r="Z12"/>
  <c r="Y12"/>
  <c r="X12"/>
  <c r="W12"/>
  <c r="V12"/>
  <c r="U12"/>
  <c r="T12"/>
  <c r="S12"/>
  <c r="R12"/>
  <c r="Q12"/>
  <c r="P12"/>
  <c r="O12"/>
  <c r="N12"/>
  <c r="M12"/>
  <c r="L12"/>
  <c r="K12"/>
  <c r="J12"/>
  <c r="I12"/>
  <c r="H12"/>
  <c r="E12"/>
  <c r="D12"/>
  <c r="E88"/>
  <c r="E87"/>
  <c r="E84"/>
  <c r="L39" i="788"/>
  <c r="L38"/>
  <c r="Y36"/>
  <c r="Y34"/>
  <c r="L34"/>
  <c r="Y30"/>
  <c r="L29"/>
  <c r="Y28"/>
  <c r="L28"/>
  <c r="K69" i="791"/>
  <c r="L69" s="1"/>
  <c r="J51"/>
  <c r="J49"/>
  <c r="J47"/>
  <c r="M46"/>
  <c r="J45"/>
  <c r="L45"/>
  <c r="J44"/>
  <c r="L44" s="1"/>
  <c r="M43"/>
  <c r="N42"/>
  <c r="K41"/>
  <c r="M41"/>
  <c r="N41"/>
  <c r="M39"/>
  <c r="M37"/>
  <c r="M34"/>
  <c r="M28"/>
  <c r="N18"/>
  <c r="M14"/>
  <c r="AG53" i="136"/>
  <c r="AG54"/>
  <c r="W54"/>
  <c r="Y55"/>
  <c r="N55"/>
  <c r="Y54"/>
  <c r="N54"/>
  <c r="M54"/>
  <c r="Y53"/>
  <c r="W53"/>
  <c r="N53"/>
  <c r="M53"/>
  <c r="AG52"/>
  <c r="Y52"/>
  <c r="W52"/>
  <c r="N52"/>
  <c r="M52"/>
  <c r="K7" i="791"/>
  <c r="M7"/>
  <c r="L8"/>
  <c r="K9"/>
  <c r="M9"/>
  <c r="M13"/>
  <c r="L14"/>
  <c r="M22"/>
  <c r="L23"/>
  <c r="L25"/>
  <c r="L29"/>
  <c r="K40"/>
  <c r="L41"/>
  <c r="L43"/>
  <c r="N43"/>
  <c r="L7"/>
  <c r="L9"/>
  <c r="L24"/>
  <c r="L40"/>
  <c r="K29"/>
  <c r="N14"/>
  <c r="K14"/>
  <c r="M18"/>
  <c r="L18"/>
  <c r="N23"/>
  <c r="K23"/>
  <c r="N25"/>
  <c r="K25"/>
  <c r="K34"/>
  <c r="K36"/>
  <c r="L39"/>
  <c r="K39"/>
  <c r="M8"/>
  <c r="N37"/>
  <c r="L16"/>
  <c r="M40"/>
  <c r="N11" i="833"/>
  <c r="H11"/>
  <c r="H14"/>
  <c r="K45" i="791"/>
  <c r="N69"/>
  <c r="N45"/>
  <c r="M45"/>
  <c r="H16" i="833" l="1"/>
  <c r="K44" i="791"/>
  <c r="N44"/>
  <c r="M69"/>
  <c r="N13"/>
  <c r="M19"/>
  <c r="M44"/>
  <c r="X14" i="833"/>
  <c r="Y14"/>
  <c r="K22" i="791"/>
  <c r="K19"/>
  <c r="L13"/>
  <c r="L34"/>
  <c r="K24"/>
  <c r="K16"/>
  <c r="K8"/>
  <c r="N16"/>
  <c r="M29"/>
  <c r="N19"/>
  <c r="N22"/>
  <c r="L14" i="833"/>
  <c r="K37" i="791"/>
  <c r="M24"/>
</calcChain>
</file>

<file path=xl/sharedStrings.xml><?xml version="1.0" encoding="utf-8"?>
<sst xmlns="http://schemas.openxmlformats.org/spreadsheetml/2006/main" count="3528" uniqueCount="2142">
  <si>
    <t>Парапетные крышки</t>
  </si>
  <si>
    <t>Временные ограждения</t>
  </si>
  <si>
    <t>Профнастил С8</t>
  </si>
  <si>
    <t>Профнастил С10</t>
  </si>
  <si>
    <t>Дачный</t>
  </si>
  <si>
    <t>Профнастил С20</t>
  </si>
  <si>
    <t>Профнастил С21</t>
  </si>
  <si>
    <t>Профнастил НС35</t>
  </si>
  <si>
    <t>Профнастил Н60</t>
  </si>
  <si>
    <t>Профнастил Н75</t>
  </si>
  <si>
    <t>Софит металлический</t>
  </si>
  <si>
    <t>Металлочерепица</t>
  </si>
  <si>
    <t>Штакетник</t>
  </si>
  <si>
    <t>Цвет</t>
  </si>
  <si>
    <t>Цена, руб./п.м.</t>
  </si>
  <si>
    <t>PE</t>
  </si>
  <si>
    <t>Прямоугольный</t>
  </si>
  <si>
    <t>Круглый</t>
  </si>
  <si>
    <t>Наименование</t>
  </si>
  <si>
    <t>Вернуться в начало</t>
  </si>
  <si>
    <t>дата изменения страницы прайса:</t>
  </si>
  <si>
    <t>цены действительны с</t>
  </si>
  <si>
    <t>Наименование профиля</t>
  </si>
  <si>
    <t>Design</t>
  </si>
  <si>
    <t>Premium</t>
  </si>
  <si>
    <t>Standart +</t>
  </si>
  <si>
    <t>Цинк</t>
  </si>
  <si>
    <t>Colority
Print dp</t>
  </si>
  <si>
    <t>Colority
Print</t>
  </si>
  <si>
    <t>Safari</t>
  </si>
  <si>
    <t xml:space="preserve">Quarzit </t>
  </si>
  <si>
    <t>Quarzit lite</t>
  </si>
  <si>
    <t>Velur</t>
  </si>
  <si>
    <t>Atlas</t>
  </si>
  <si>
    <t>Drap</t>
  </si>
  <si>
    <t>Satin</t>
  </si>
  <si>
    <t xml:space="preserve">PE двс </t>
  </si>
  <si>
    <t>Защитный слой, гр/кв.м.</t>
  </si>
  <si>
    <t>ZA 265</t>
  </si>
  <si>
    <t>Zn 275</t>
  </si>
  <si>
    <t>Zn 100</t>
  </si>
  <si>
    <t>Zn 140</t>
  </si>
  <si>
    <t xml:space="preserve"> Zn 100</t>
  </si>
  <si>
    <t>0,5/35</t>
  </si>
  <si>
    <t>0,45/25</t>
  </si>
  <si>
    <t>20 лет</t>
  </si>
  <si>
    <t>30 лет</t>
  </si>
  <si>
    <t>10 лет</t>
  </si>
  <si>
    <t>2 года</t>
  </si>
  <si>
    <t>1 год</t>
  </si>
  <si>
    <t>Kvinta plus</t>
  </si>
  <si>
    <t>-</t>
  </si>
  <si>
    <t>Kamea</t>
  </si>
  <si>
    <t>Kredo</t>
  </si>
  <si>
    <t>Classic</t>
  </si>
  <si>
    <t>Modern</t>
  </si>
  <si>
    <t>Профилированный лист</t>
  </si>
  <si>
    <t>0,5/8</t>
  </si>
  <si>
    <t>0,5/12</t>
  </si>
  <si>
    <t>Штрипс, отмотка и плоский лист</t>
  </si>
  <si>
    <t>Штрипс для фальца (625 мм)</t>
  </si>
  <si>
    <t>Корабельная Доска</t>
  </si>
  <si>
    <t>Вертикаль</t>
  </si>
  <si>
    <t>ЭкоБрус/Gofr</t>
  </si>
  <si>
    <t>Металлический штакетник, Цена, руб/п.м.</t>
  </si>
  <si>
    <t>П/М-образный</t>
  </si>
  <si>
    <t>П/М-образный Фигурный</t>
  </si>
  <si>
    <t>0,5/3,5</t>
  </si>
  <si>
    <t>Круглый Фигурный</t>
  </si>
  <si>
    <t>Прямоугольный Фигурный</t>
  </si>
  <si>
    <t>Примечания</t>
  </si>
  <si>
    <t>Парапетная крышка прямая</t>
  </si>
  <si>
    <t>Парапетная крышка угольная</t>
  </si>
  <si>
    <t>Объем заказа</t>
  </si>
  <si>
    <t>Наценка</t>
  </si>
  <si>
    <t>Срок изготовления</t>
  </si>
  <si>
    <t>стандартный</t>
  </si>
  <si>
    <t>нет</t>
  </si>
  <si>
    <t>бессрочный</t>
  </si>
  <si>
    <t>Ваша скидка</t>
  </si>
  <si>
    <t>PE 0,7</t>
  </si>
  <si>
    <t>Профнастил</t>
  </si>
  <si>
    <t>Плоский лист/отмотка/штрипс</t>
  </si>
  <si>
    <t>Металлический сайдинг</t>
  </si>
  <si>
    <t>Ширина профиля общаяя / полезная, мм</t>
  </si>
  <si>
    <t>Цена, руб./кв.м</t>
  </si>
  <si>
    <t>Толщина металла, мм / покрытия, мкм</t>
  </si>
  <si>
    <t>0,45 / 30</t>
  </si>
  <si>
    <t>0,5 / 55</t>
  </si>
  <si>
    <t>0,5 / 25</t>
  </si>
  <si>
    <t>0,5 / 35</t>
  </si>
  <si>
    <t>0,5 / 50</t>
  </si>
  <si>
    <t>0,45 / 25</t>
  </si>
  <si>
    <t>Гарантия</t>
  </si>
  <si>
    <t>1180/1150</t>
  </si>
  <si>
    <t>1060/1000</t>
  </si>
  <si>
    <t>за заказ менее 5 кв.м.</t>
  </si>
  <si>
    <t>за заказ от 5 до 9,99 кв.м.</t>
  </si>
  <si>
    <t>за заказ от 10 до 25 кв.м.</t>
  </si>
  <si>
    <t>за заказ менее 25 кв.м.</t>
  </si>
  <si>
    <t>Остатки при нарезке штрипса выставляются в счет.</t>
  </si>
  <si>
    <t>Услуги расчета материала (деньги возвращаются при размещении заказа):</t>
  </si>
  <si>
    <t>Ширина заготовки, мм</t>
  </si>
  <si>
    <t>Цена, руб.</t>
  </si>
  <si>
    <t>кв.м</t>
  </si>
  <si>
    <t>шт.</t>
  </si>
  <si>
    <t>Нестандартные доборные элементы</t>
  </si>
  <si>
    <t>Ширина развертки, мм</t>
  </si>
  <si>
    <t>Quarzit</t>
  </si>
  <si>
    <t xml:space="preserve"> PE 0,7</t>
  </si>
  <si>
    <t>1250 / &lt;=1250</t>
  </si>
  <si>
    <t>Цена, руб/шт</t>
  </si>
  <si>
    <t xml:space="preserve">        Наименование</t>
  </si>
  <si>
    <t>Цена, руб./шт.</t>
  </si>
  <si>
    <t>Плоский лист, штрипс и отмотка</t>
  </si>
  <si>
    <t>1200/1160</t>
  </si>
  <si>
    <t>1,5-3</t>
  </si>
  <si>
    <t>800/750</t>
  </si>
  <si>
    <t>100/-</t>
  </si>
  <si>
    <t>128 / -</t>
  </si>
  <si>
    <t>118 / -</t>
  </si>
  <si>
    <t>Доборные элементы для ограждений, стандартная длина 2м и 3м</t>
  </si>
  <si>
    <t>Планка П-образная заборная 20 2м/3м</t>
  </si>
  <si>
    <t>Планка П-образная заборная 17 2м/3м</t>
  </si>
  <si>
    <t>Цинк 0,7</t>
  </si>
  <si>
    <r>
      <rPr>
        <b/>
        <sz val="10"/>
        <rFont val="Arial Cyr"/>
        <charset val="204"/>
      </rPr>
      <t xml:space="preserve">Нестандартный доборный элемент </t>
    </r>
    <r>
      <rPr>
        <sz val="10"/>
        <rFont val="Arial Cyr"/>
        <charset val="204"/>
      </rPr>
      <t>(укажите ширину развертки в зеленом поле)</t>
    </r>
  </si>
  <si>
    <t>Ширина посадочного места, мм</t>
  </si>
  <si>
    <t>Цена, руб./п.м., стандартная длина крышек 2м и 3м</t>
  </si>
  <si>
    <t>Для расчета стоимости парапетных крышек прочих размеров в таблице расчета нестандартных размеров укажите ширину развертки штрипса для изготовления парапетной крышки</t>
  </si>
  <si>
    <t>Штакетники М/П-образные, Круглый, Прямоугольный (в т.ч. фигурные) во всех покрытиях изготавливаются без пленки.</t>
  </si>
  <si>
    <t>Воронеж</t>
  </si>
  <si>
    <t>Санкт-Петербург</t>
  </si>
  <si>
    <t>Блок-хаус New</t>
  </si>
  <si>
    <t>J-профиль 12 мм 2м/3м</t>
  </si>
  <si>
    <t>50 лет</t>
  </si>
  <si>
    <t>25 лет</t>
  </si>
  <si>
    <t>Длина          min/max, м</t>
  </si>
  <si>
    <t>п.м</t>
  </si>
  <si>
    <t>Дачный PE склад</t>
  </si>
  <si>
    <t>Дачный PE       пр-во</t>
  </si>
  <si>
    <t>Дачный PE производство</t>
  </si>
  <si>
    <t>KvintaPl_Ptdp</t>
  </si>
  <si>
    <t>KvintaPl_Pt</t>
  </si>
  <si>
    <t>KvintaPl_Sf</t>
  </si>
  <si>
    <t>KvintaPl_Q</t>
  </si>
  <si>
    <t>KvintaPl_Ql</t>
  </si>
  <si>
    <t>KvintaPl_Vel</t>
  </si>
  <si>
    <t>KvintaPl_Atl</t>
  </si>
  <si>
    <t>KvintaPl_Pur</t>
  </si>
  <si>
    <t>KvintaPl_Dr</t>
  </si>
  <si>
    <t>KvintaPl_Sat</t>
  </si>
  <si>
    <t>KvintaPl_PEdp</t>
  </si>
  <si>
    <t>KvintaPl_Pe08</t>
  </si>
  <si>
    <t>KvintaPl_Pe07</t>
  </si>
  <si>
    <t>KvintaPl_Pe045</t>
  </si>
  <si>
    <t>KvintaPl_Pe04</t>
  </si>
  <si>
    <t>KvintaPl_dachPr</t>
  </si>
  <si>
    <t>KvintaPl_dachSk</t>
  </si>
  <si>
    <t>Kamea_Ptdp</t>
  </si>
  <si>
    <t>Kamea_Pt</t>
  </si>
  <si>
    <t>Kamea_Sf</t>
  </si>
  <si>
    <t>Kamea_Q</t>
  </si>
  <si>
    <t>Kamea_Ql</t>
  </si>
  <si>
    <t>Kamea_Vel</t>
  </si>
  <si>
    <t>Kamea_Atl</t>
  </si>
  <si>
    <t>Kamea_Pur</t>
  </si>
  <si>
    <t>Kamea_Dr</t>
  </si>
  <si>
    <t>Kamea_Sat</t>
  </si>
  <si>
    <t>Kamea_PEdp</t>
  </si>
  <si>
    <t>Kamea_Pe08</t>
  </si>
  <si>
    <t>Kamea_Pe07</t>
  </si>
  <si>
    <t>Kamea_Pe045</t>
  </si>
  <si>
    <t>Kamea_Pe04</t>
  </si>
  <si>
    <t>Kamea_dachPr</t>
  </si>
  <si>
    <t>Kamea_dachSk</t>
  </si>
  <si>
    <t>Kredo_Ptdp</t>
  </si>
  <si>
    <t>Kredo_Pt</t>
  </si>
  <si>
    <t>Kredo_Sf</t>
  </si>
  <si>
    <t>Kredo_Q</t>
  </si>
  <si>
    <t>Kredo_Ql</t>
  </si>
  <si>
    <t>Kredo_Vel</t>
  </si>
  <si>
    <t>Kredo_Atl</t>
  </si>
  <si>
    <t>Kredo_Pur</t>
  </si>
  <si>
    <t>Kredo_Dr</t>
  </si>
  <si>
    <t>Kredo_Sat</t>
  </si>
  <si>
    <t>Kredo_PEdp</t>
  </si>
  <si>
    <t>Kredo_Pe08</t>
  </si>
  <si>
    <t>Kredo_Pe07</t>
  </si>
  <si>
    <t>Kredo_Pe045</t>
  </si>
  <si>
    <t>Kredo_Pe04</t>
  </si>
  <si>
    <t>Kredo_dachPr</t>
  </si>
  <si>
    <t>Kredo_dachSk</t>
  </si>
  <si>
    <t>Classic_Ptdp</t>
  </si>
  <si>
    <t>Classic_Pt</t>
  </si>
  <si>
    <t>Classic_Sf</t>
  </si>
  <si>
    <t>Classic_Q</t>
  </si>
  <si>
    <t>Classic_Ql</t>
  </si>
  <si>
    <t>Classic_Vel</t>
  </si>
  <si>
    <t>Classic_Atl</t>
  </si>
  <si>
    <t>Classic_Pur</t>
  </si>
  <si>
    <t>Classic_Dr</t>
  </si>
  <si>
    <t>Classic_Sat</t>
  </si>
  <si>
    <t>Classic_PEdp</t>
  </si>
  <si>
    <t>Classic_Pe08</t>
  </si>
  <si>
    <t>Classic_Pe07</t>
  </si>
  <si>
    <t>Classic_Pe045</t>
  </si>
  <si>
    <t>Classic_Pe04</t>
  </si>
  <si>
    <t>Classic_dachPr</t>
  </si>
  <si>
    <t>Classic_dachSk</t>
  </si>
  <si>
    <t>Modern_Ptdp</t>
  </si>
  <si>
    <t>Modern_Pt</t>
  </si>
  <si>
    <t>Modern_Sf</t>
  </si>
  <si>
    <t>Modern_Q</t>
  </si>
  <si>
    <t>Modern_Ql</t>
  </si>
  <si>
    <t>Modern_Vel</t>
  </si>
  <si>
    <t>Modern_Atl</t>
  </si>
  <si>
    <t>Modern_Pur</t>
  </si>
  <si>
    <t>Modern_Dr</t>
  </si>
  <si>
    <t>Modern_Sat</t>
  </si>
  <si>
    <t>Modern_PEdp</t>
  </si>
  <si>
    <t>Modern_Pe08</t>
  </si>
  <si>
    <t>Modern_Pe07</t>
  </si>
  <si>
    <t>Modern_Pe045</t>
  </si>
  <si>
    <t>Modern_Pe04</t>
  </si>
  <si>
    <t>Modern_dachPr</t>
  </si>
  <si>
    <t>Modern_dachSk</t>
  </si>
  <si>
    <t>Sofit_Ptdp</t>
  </si>
  <si>
    <t>Sofit_Pt</t>
  </si>
  <si>
    <t>Sofit_Sf</t>
  </si>
  <si>
    <t>Sofit_Q</t>
  </si>
  <si>
    <t>Sofit_Ql</t>
  </si>
  <si>
    <t>Sofit_Vel</t>
  </si>
  <si>
    <t>Sofit_Atl</t>
  </si>
  <si>
    <t>Sofit_Pur</t>
  </si>
  <si>
    <t>Sofit_Dr</t>
  </si>
  <si>
    <t>Sofit_Sat</t>
  </si>
  <si>
    <t>Sofit_PEdp</t>
  </si>
  <si>
    <t>Sofit_Pe08</t>
  </si>
  <si>
    <t>Sofit_Pe07</t>
  </si>
  <si>
    <t>Sofit_Pe045</t>
  </si>
  <si>
    <t>Sofit_Pe04</t>
  </si>
  <si>
    <t>Sofit_dachPr</t>
  </si>
  <si>
    <t>Sofit_dachSk</t>
  </si>
  <si>
    <t xml:space="preserve">Двойной стоячий фальц/Profi </t>
  </si>
  <si>
    <t>Falz2_Ptdp</t>
  </si>
  <si>
    <t>Falz2_Pt</t>
  </si>
  <si>
    <t>Falz2_Sf</t>
  </si>
  <si>
    <t>Falz2_Q</t>
  </si>
  <si>
    <t>Falz2_Ql</t>
  </si>
  <si>
    <t>Falz2_Vel</t>
  </si>
  <si>
    <t>Falz2_Atl</t>
  </si>
  <si>
    <t>Falz2_Pur</t>
  </si>
  <si>
    <t>Falz2_Dr</t>
  </si>
  <si>
    <t>Falz2_Sat</t>
  </si>
  <si>
    <t>Falz2_PEdp</t>
  </si>
  <si>
    <t>Falz2_Pe08</t>
  </si>
  <si>
    <t>Falz2_Pe07</t>
  </si>
  <si>
    <t>Falz2_Pe045</t>
  </si>
  <si>
    <t>Falz2_Pe04</t>
  </si>
  <si>
    <t>Falz2_dachPr</t>
  </si>
  <si>
    <t>Falz2_dachSk</t>
  </si>
  <si>
    <t>Falz2_Zn035</t>
  </si>
  <si>
    <t>Falz2_Zn04</t>
  </si>
  <si>
    <t>Falz2_Zn045</t>
  </si>
  <si>
    <t>Falz2_Zn05</t>
  </si>
  <si>
    <t>Falz2_Zn055</t>
  </si>
  <si>
    <t>Falz2_Zn07</t>
  </si>
  <si>
    <t>Falz2_Zn08</t>
  </si>
  <si>
    <t>Falz2_Zn09</t>
  </si>
  <si>
    <t>Кликфальц/Profi</t>
  </si>
  <si>
    <t>Klik_Ptdp</t>
  </si>
  <si>
    <t>Klik_Pt</t>
  </si>
  <si>
    <t>Klik_Sf</t>
  </si>
  <si>
    <t>Klik_Q</t>
  </si>
  <si>
    <t>Klik_Ql</t>
  </si>
  <si>
    <t>Klik_Vel</t>
  </si>
  <si>
    <t>Klik_Atl</t>
  </si>
  <si>
    <t>Klik_Pur</t>
  </si>
  <si>
    <t>Klik_Dr</t>
  </si>
  <si>
    <t>Klik_Sat</t>
  </si>
  <si>
    <t>Klik_PEdp</t>
  </si>
  <si>
    <t>Klik_Pe08</t>
  </si>
  <si>
    <t>Klik_Pe07</t>
  </si>
  <si>
    <t>Klik_Pe045</t>
  </si>
  <si>
    <t>Klik_Pe04</t>
  </si>
  <si>
    <t>Klik_dachPr</t>
  </si>
  <si>
    <t>Klik_dachSk</t>
  </si>
  <si>
    <t>Klik_Zn035</t>
  </si>
  <si>
    <t>Klik_Zn04</t>
  </si>
  <si>
    <t>Klik_Zn045</t>
  </si>
  <si>
    <t>Klik_Zn05</t>
  </si>
  <si>
    <t>Klik_Zn055</t>
  </si>
  <si>
    <t>Klik_Zn07</t>
  </si>
  <si>
    <t>Klik_Zn08</t>
  </si>
  <si>
    <t>Klik_Zn09</t>
  </si>
  <si>
    <t>Кликфальц Mini</t>
  </si>
  <si>
    <t>PnC8_Pt</t>
  </si>
  <si>
    <t>PnC8_Sf</t>
  </si>
  <si>
    <t>PnC8_Q</t>
  </si>
  <si>
    <t>PnC8_Ql</t>
  </si>
  <si>
    <t>PnC8_Vel</t>
  </si>
  <si>
    <t>PnC8_Atl</t>
  </si>
  <si>
    <t>PnC8_Pur</t>
  </si>
  <si>
    <t>PnC8_Dr</t>
  </si>
  <si>
    <t>PnC8_Sat</t>
  </si>
  <si>
    <t>PnC8_PEdp</t>
  </si>
  <si>
    <t>PnC8_Pe08</t>
  </si>
  <si>
    <t>PnC8_Pe07</t>
  </si>
  <si>
    <t>PnC8_Pe045</t>
  </si>
  <si>
    <t>PnC8_Pe04</t>
  </si>
  <si>
    <t>PnC8_dachPr</t>
  </si>
  <si>
    <t>PnC8_dachSk</t>
  </si>
  <si>
    <t>PnC8_Zn035</t>
  </si>
  <si>
    <t>PnC8_Zn04</t>
  </si>
  <si>
    <t>PnC8_Zn045</t>
  </si>
  <si>
    <t>PnC8_Zn05</t>
  </si>
  <si>
    <t>PnC8_Zn055</t>
  </si>
  <si>
    <t>PnC8_Zn07</t>
  </si>
  <si>
    <t>PnC8_Zn08</t>
  </si>
  <si>
    <t>PnC8_Zn09</t>
  </si>
  <si>
    <t>PnC10_Pt</t>
  </si>
  <si>
    <t>PnC10_Sf</t>
  </si>
  <si>
    <t>PnC10_Q</t>
  </si>
  <si>
    <t>PnC10_Ql</t>
  </si>
  <si>
    <t>PnC10_Vel</t>
  </si>
  <si>
    <t>PnC10_Atl</t>
  </si>
  <si>
    <t>PnC10_Pur</t>
  </si>
  <si>
    <t>PnC10_Dr</t>
  </si>
  <si>
    <t>PnC10_Sat</t>
  </si>
  <si>
    <t>PnC10_PEdp</t>
  </si>
  <si>
    <t>PnC10_Pe08</t>
  </si>
  <si>
    <t>PnC10_Pe07</t>
  </si>
  <si>
    <t>PnC10_Pe045</t>
  </si>
  <si>
    <t>PnC10_Pe04</t>
  </si>
  <si>
    <t>PnC10_dachPr</t>
  </si>
  <si>
    <t>PnC10_dachSk</t>
  </si>
  <si>
    <t>PnC10_Zn035</t>
  </si>
  <si>
    <t>PnC10_Zn04</t>
  </si>
  <si>
    <t>PnC10_Zn045</t>
  </si>
  <si>
    <t>PnC10_Zn05</t>
  </si>
  <si>
    <t>PnC10_Zn055</t>
  </si>
  <si>
    <t>PnC10_Zn07</t>
  </si>
  <si>
    <t>PnC10_Zn08</t>
  </si>
  <si>
    <t>PnC10_Zn09</t>
  </si>
  <si>
    <t>PnC10f_Pt</t>
  </si>
  <si>
    <t>PnC10f_Sf</t>
  </si>
  <si>
    <t>PnC10f_Q</t>
  </si>
  <si>
    <t>PnC10f_Ql</t>
  </si>
  <si>
    <t>PnC10f_Vel</t>
  </si>
  <si>
    <t>PnC10f_Atl</t>
  </si>
  <si>
    <t>PnC10f_Pur</t>
  </si>
  <si>
    <t>PnC10f_Dr</t>
  </si>
  <si>
    <t>PnC10f_Sat</t>
  </si>
  <si>
    <t>PnC10f_PEdp</t>
  </si>
  <si>
    <t>PnC10f_Pe08</t>
  </si>
  <si>
    <t>PnC10f_Pe07</t>
  </si>
  <si>
    <t>PnC10f_Pe045</t>
  </si>
  <si>
    <t>PnC10f_Pe04</t>
  </si>
  <si>
    <t>PnC10f_dachPr</t>
  </si>
  <si>
    <t>PnC10f_dachSk</t>
  </si>
  <si>
    <t>PnC10f_Zn035</t>
  </si>
  <si>
    <t>PnC10f_Zn04</t>
  </si>
  <si>
    <t>PnC10f_Zn045</t>
  </si>
  <si>
    <t>PnC10f_Zn05</t>
  </si>
  <si>
    <t>PnC10f_Zn055</t>
  </si>
  <si>
    <t>PnC10f_Zn07</t>
  </si>
  <si>
    <t>PnC10f_Zn08</t>
  </si>
  <si>
    <t>PnC10f_Zn09</t>
  </si>
  <si>
    <t>PnC20_Pt</t>
  </si>
  <si>
    <t>PnC20_Sf</t>
  </si>
  <si>
    <t>PnC20_Q</t>
  </si>
  <si>
    <t>PnC20_Ql</t>
  </si>
  <si>
    <t>PnC20_Vel</t>
  </si>
  <si>
    <t>PnC20_Atl</t>
  </si>
  <si>
    <t>PnC20_Pur</t>
  </si>
  <si>
    <t>PnC20_Dr</t>
  </si>
  <si>
    <t>PnC20_Sat</t>
  </si>
  <si>
    <t>PnC20_PEdp</t>
  </si>
  <si>
    <t>PnC20_Pe08</t>
  </si>
  <si>
    <t>PnC20_Pe07</t>
  </si>
  <si>
    <t>PnC20_Pe045</t>
  </si>
  <si>
    <t>PnC20_Pe04</t>
  </si>
  <si>
    <t>PnC20_dachPr</t>
  </si>
  <si>
    <t>PnC20_dachSk</t>
  </si>
  <si>
    <t>PnC20_Zn035</t>
  </si>
  <si>
    <t>PnC20_Zn04</t>
  </si>
  <si>
    <t>PnC20_Zn045</t>
  </si>
  <si>
    <t>PnC20_Zn05</t>
  </si>
  <si>
    <t>PnC20_Zn055</t>
  </si>
  <si>
    <t>PnC20_Zn07</t>
  </si>
  <si>
    <t>PnC20_Zn08</t>
  </si>
  <si>
    <t>PnC20_Zn09</t>
  </si>
  <si>
    <t>PnC21_Pt</t>
  </si>
  <si>
    <t>PnC21_Sf</t>
  </si>
  <si>
    <t>PnC21_Q</t>
  </si>
  <si>
    <t>PnC21_Ql</t>
  </si>
  <si>
    <t>PnC21_Vel</t>
  </si>
  <si>
    <t>PnC21_Atl</t>
  </si>
  <si>
    <t>PnC21_Pur</t>
  </si>
  <si>
    <t>PnC21_Dr</t>
  </si>
  <si>
    <t>PnC21_Sat</t>
  </si>
  <si>
    <t>PnC21_PEdp</t>
  </si>
  <si>
    <t>PnC21_Pe08</t>
  </si>
  <si>
    <t>PnC21_Pe07</t>
  </si>
  <si>
    <t>PnC21_Pe045</t>
  </si>
  <si>
    <t>PnC21_Pe04</t>
  </si>
  <si>
    <t>PnC21_dachPr</t>
  </si>
  <si>
    <t>PnC21_dachSk</t>
  </si>
  <si>
    <t>PnC21_Zn035</t>
  </si>
  <si>
    <t>PnC21_Zn04</t>
  </si>
  <si>
    <t>PnC21_Zn045</t>
  </si>
  <si>
    <t>PnC21_Zn05</t>
  </si>
  <si>
    <t>PnC21_Zn055</t>
  </si>
  <si>
    <t>PnC21_Zn07</t>
  </si>
  <si>
    <t>PnC21_Zn08</t>
  </si>
  <si>
    <t>PnC21_Zn09</t>
  </si>
  <si>
    <t>PnHC35_Pt</t>
  </si>
  <si>
    <t>PnHC35_Sf</t>
  </si>
  <si>
    <t>PnHC35_Q</t>
  </si>
  <si>
    <t>PnHC35_Ql</t>
  </si>
  <si>
    <t>PnHC35_Vel</t>
  </si>
  <si>
    <t>PnHC35_Atl</t>
  </si>
  <si>
    <t>PnHC35_Pur</t>
  </si>
  <si>
    <t>PnHC35_Dr</t>
  </si>
  <si>
    <t>PnHC35_Sat</t>
  </si>
  <si>
    <t>PnHC35_PEdp</t>
  </si>
  <si>
    <t>PnHC35_Pe08</t>
  </si>
  <si>
    <t>PnHC35_Pe07</t>
  </si>
  <si>
    <t>PnHC35_Pe045</t>
  </si>
  <si>
    <t>PnHC35_Pe04</t>
  </si>
  <si>
    <t>PnHC35_dachPr</t>
  </si>
  <si>
    <t>PnHC35_dachSk</t>
  </si>
  <si>
    <t>PnHC35_Zn035</t>
  </si>
  <si>
    <t>PnHC35_Zn04</t>
  </si>
  <si>
    <t>PnHC35_Zn045</t>
  </si>
  <si>
    <t>PnHC35_Zn05</t>
  </si>
  <si>
    <t>PnHC35_Zn055</t>
  </si>
  <si>
    <t>PnHC35_Zn07</t>
  </si>
  <si>
    <t>PnHC35_Zn08</t>
  </si>
  <si>
    <t>PnHC35_Zn09</t>
  </si>
  <si>
    <t>PnH60_Pt</t>
  </si>
  <si>
    <t>PnH60_Sf</t>
  </si>
  <si>
    <t>PnH60_Q</t>
  </si>
  <si>
    <t>PnH60_Ql</t>
  </si>
  <si>
    <t>PnH60_Vel</t>
  </si>
  <si>
    <t>PnH60_Atl</t>
  </si>
  <si>
    <t>PnH60_Pur</t>
  </si>
  <si>
    <t>PnH60_Dr</t>
  </si>
  <si>
    <t>PnH60_Sat</t>
  </si>
  <si>
    <t>PnH60_PEdp</t>
  </si>
  <si>
    <t>PnH60_Pe08</t>
  </si>
  <si>
    <t>PnH60_Pe07</t>
  </si>
  <si>
    <t>PnH60_Pe045</t>
  </si>
  <si>
    <t>PnH60_Pe04</t>
  </si>
  <si>
    <t>PnH60_dachPr</t>
  </si>
  <si>
    <t>PnH60_dachSk</t>
  </si>
  <si>
    <t>PnH60_Zn035</t>
  </si>
  <si>
    <t>PnH60_Zn04</t>
  </si>
  <si>
    <t>PnH60_Zn045</t>
  </si>
  <si>
    <t>PnH60_Zn05</t>
  </si>
  <si>
    <t>PnH60_Zn055</t>
  </si>
  <si>
    <t>PnH60_Zn07</t>
  </si>
  <si>
    <t>PnH60_Zn08</t>
  </si>
  <si>
    <t>PnH60_Zn09</t>
  </si>
  <si>
    <t>PnH75_Pt</t>
  </si>
  <si>
    <t>PnH75_Sf</t>
  </si>
  <si>
    <t>PnH75_Q</t>
  </si>
  <si>
    <t>PnH75_Ql</t>
  </si>
  <si>
    <t>PnH75_Vel</t>
  </si>
  <si>
    <t>PnH75_Atl</t>
  </si>
  <si>
    <t>PnH75_Pur</t>
  </si>
  <si>
    <t>PnH75_Dr</t>
  </si>
  <si>
    <t>PnH75_Sat</t>
  </si>
  <si>
    <t>PnH75_PEdp</t>
  </si>
  <si>
    <t>PnH75_Pe08</t>
  </si>
  <si>
    <t>PnH75_Pe07</t>
  </si>
  <si>
    <t>PnH75_Pe045</t>
  </si>
  <si>
    <t>PnH75_Pe04</t>
  </si>
  <si>
    <t>PnH75_dachPr</t>
  </si>
  <si>
    <t>PnH75_dachSk</t>
  </si>
  <si>
    <t>PnH75_Zn035</t>
  </si>
  <si>
    <t>PnH75_Zn04</t>
  </si>
  <si>
    <t>PnH75_Zn045</t>
  </si>
  <si>
    <t>PnH75_Zn05</t>
  </si>
  <si>
    <t>PnH75_Zn055</t>
  </si>
  <si>
    <t>PnH75_Zn07</t>
  </si>
  <si>
    <t>PnH75_Zn08</t>
  </si>
  <si>
    <t>PnH75_Zn09</t>
  </si>
  <si>
    <t>ShtripsFalz_Ptdp</t>
  </si>
  <si>
    <t>ShtripsFalz_Pt</t>
  </si>
  <si>
    <t>ShtripsFalz_Sf</t>
  </si>
  <si>
    <t>ShtripsFalz_Q</t>
  </si>
  <si>
    <t>ShtripsFalz_Ql</t>
  </si>
  <si>
    <t>ShtripsFalz_Vel</t>
  </si>
  <si>
    <t>ShtripsFalz_Atl</t>
  </si>
  <si>
    <t>ShtripsFalz_Pur</t>
  </si>
  <si>
    <t>ShtripsFalz_Dr</t>
  </si>
  <si>
    <t>ShtripsFalz_Sat</t>
  </si>
  <si>
    <t>ShtripsFalz_PEdp</t>
  </si>
  <si>
    <t>ShtripsFalz_Pe08</t>
  </si>
  <si>
    <t>ShtripsFalz_Pe07</t>
  </si>
  <si>
    <t>ShtripsFalz_Pe045</t>
  </si>
  <si>
    <t>ShtripsFalz_Pe04</t>
  </si>
  <si>
    <t>ShtripsFalz_dachPr</t>
  </si>
  <si>
    <t>ShtripsFalz_dachSk</t>
  </si>
  <si>
    <t>ShtripsFalz_Zn035</t>
  </si>
  <si>
    <t>ShtripsFalz_Zn04</t>
  </si>
  <si>
    <t>ShtripsFalz_Zn045</t>
  </si>
  <si>
    <t>ShtripsFalz_Zn05</t>
  </si>
  <si>
    <t>ShtripsFalz_Zn055</t>
  </si>
  <si>
    <t>ShtripsFalz_Zn07</t>
  </si>
  <si>
    <t>ShtripsFalz_Zn08</t>
  </si>
  <si>
    <t>ShtripsFalz_Zn09</t>
  </si>
  <si>
    <t>Плоский лист
Штрипс
Отмотка</t>
  </si>
  <si>
    <t>List_Ptdp</t>
  </si>
  <si>
    <t>List_Pt</t>
  </si>
  <si>
    <t>List_Sf</t>
  </si>
  <si>
    <t>List_Q</t>
  </si>
  <si>
    <t>List_Ql</t>
  </si>
  <si>
    <t>List_Vel</t>
  </si>
  <si>
    <t>List_Atl</t>
  </si>
  <si>
    <t>List_Pur</t>
  </si>
  <si>
    <t>List_Dr</t>
  </si>
  <si>
    <t>List_Sat</t>
  </si>
  <si>
    <t>List_PEdp</t>
  </si>
  <si>
    <t>List_Pe08</t>
  </si>
  <si>
    <t>List_Pe07</t>
  </si>
  <si>
    <t>List_Pe045</t>
  </si>
  <si>
    <t>List_Pe04</t>
  </si>
  <si>
    <t>List_dachPr</t>
  </si>
  <si>
    <t>List_dachSk</t>
  </si>
  <si>
    <t>List_Zn035</t>
  </si>
  <si>
    <t>List_Zn04</t>
  </si>
  <si>
    <t>List_Zn045</t>
  </si>
  <si>
    <t>List_Zn05</t>
  </si>
  <si>
    <t>List_Zn055</t>
  </si>
  <si>
    <t>List_Zn07</t>
  </si>
  <si>
    <t>List_Zn08</t>
  </si>
  <si>
    <t>List_Zn09</t>
  </si>
  <si>
    <t>S_KDoska_Ptdp</t>
  </si>
  <si>
    <t>S_KDoska_Pt</t>
  </si>
  <si>
    <t>S_KDoska_Sf</t>
  </si>
  <si>
    <t>S_KDoska_Q</t>
  </si>
  <si>
    <t>S_KDoska_Ql</t>
  </si>
  <si>
    <t>S_KDoska_Vel</t>
  </si>
  <si>
    <t>S_KDoska_Atl</t>
  </si>
  <si>
    <t>S_KDoska_Pur</t>
  </si>
  <si>
    <t>S_KDoska_Dr</t>
  </si>
  <si>
    <t>S_KDoska_Sat</t>
  </si>
  <si>
    <t>S_KDoska_PEdp</t>
  </si>
  <si>
    <t>S_KDoska_Pe08</t>
  </si>
  <si>
    <t>S_KDoska_Pe07</t>
  </si>
  <si>
    <t>S_KDoska_Pe045</t>
  </si>
  <si>
    <t>S_KDoska_Pe04</t>
  </si>
  <si>
    <t>S_KDoska_dachPr</t>
  </si>
  <si>
    <t>S_KDoska_dachSk</t>
  </si>
  <si>
    <t>S_Vertikal_Ptdp</t>
  </si>
  <si>
    <t>S_Vertikal_Pt</t>
  </si>
  <si>
    <t>S_Vertikal_Sf</t>
  </si>
  <si>
    <t>S_Vertikal_Q</t>
  </si>
  <si>
    <t>S_Vertikal_Ql</t>
  </si>
  <si>
    <t>S_Vertikal_Vel</t>
  </si>
  <si>
    <t>S_Vertikal_Atl</t>
  </si>
  <si>
    <t>S_Vertikal_Pur</t>
  </si>
  <si>
    <t>S_Vertikal_Dr</t>
  </si>
  <si>
    <t>S_Vertikal_Sat</t>
  </si>
  <si>
    <t>S_Vertikal_PEdp</t>
  </si>
  <si>
    <t>S_Vertikal_Pe08</t>
  </si>
  <si>
    <t>S_Vertikal_Pe07</t>
  </si>
  <si>
    <t>S_Vertikal_Pe045</t>
  </si>
  <si>
    <t>S_Vertikal_Pe04</t>
  </si>
  <si>
    <t>S_Vertikal_dachPr</t>
  </si>
  <si>
    <t>S_Vertikal_dachSk</t>
  </si>
  <si>
    <t>S_EBrus_Ptdp</t>
  </si>
  <si>
    <t>S_EBrus_Pt</t>
  </si>
  <si>
    <t>S_EBrus_Sf</t>
  </si>
  <si>
    <t>S_EBrus_Q</t>
  </si>
  <si>
    <t>S_EBrus_Ql</t>
  </si>
  <si>
    <t>S_EBrus_Vel</t>
  </si>
  <si>
    <t>S_EBrus_Atl</t>
  </si>
  <si>
    <t>S_EBrus_Pur</t>
  </si>
  <si>
    <t>S_EBrus_Dr</t>
  </si>
  <si>
    <t>S_EBrus_Sat</t>
  </si>
  <si>
    <t>S_EBrus_PEdp</t>
  </si>
  <si>
    <t>S_EBrus_Pe08</t>
  </si>
  <si>
    <t>S_EBrus_Pe07</t>
  </si>
  <si>
    <t>S_EBrus_Pe045</t>
  </si>
  <si>
    <t>S_EBrus_Pe04</t>
  </si>
  <si>
    <t>S_EBrus_dachPr</t>
  </si>
  <si>
    <t>S_EBrus_dachSk</t>
  </si>
  <si>
    <t>Блок-хаус</t>
  </si>
  <si>
    <t>S_BHaus_Ptdp</t>
  </si>
  <si>
    <t>S_BHaus_Pt</t>
  </si>
  <si>
    <t>S_BHaus_Sf</t>
  </si>
  <si>
    <t>S_BHaus_Q</t>
  </si>
  <si>
    <t>S_BHaus_Ql</t>
  </si>
  <si>
    <t>S_BHaus_Vel</t>
  </si>
  <si>
    <t>S_BHaus_Atl</t>
  </si>
  <si>
    <t>S_BHaus_Pur</t>
  </si>
  <si>
    <t>S_BHaus_Dr</t>
  </si>
  <si>
    <t>S_BHaus_Sat</t>
  </si>
  <si>
    <t>S_BHaus_PEdp</t>
  </si>
  <si>
    <t>S_BHaus_Pe08</t>
  </si>
  <si>
    <t>S_BHaus_Pe07</t>
  </si>
  <si>
    <t>S_BHaus_Pe045</t>
  </si>
  <si>
    <t>S_BHaus_Pe04</t>
  </si>
  <si>
    <t>S_BHaus_dachPr</t>
  </si>
  <si>
    <t>S_BHaus_dachSk</t>
  </si>
  <si>
    <t>S_BHausNew_Ptdp</t>
  </si>
  <si>
    <t>S_BHausNew_Pt</t>
  </si>
  <si>
    <t>S_BHausNew_Sf</t>
  </si>
  <si>
    <t>S_BHausNew_Q</t>
  </si>
  <si>
    <t>S_BHausNew_Ql</t>
  </si>
  <si>
    <t>S_BHausNew_Vel</t>
  </si>
  <si>
    <t>S_BHausNew_Atl</t>
  </si>
  <si>
    <t>S_BHausNew_Pur</t>
  </si>
  <si>
    <t>S_BHausNew_Dr</t>
  </si>
  <si>
    <t>S_BHausNew_Sat</t>
  </si>
  <si>
    <t>S_BHausNew_PEdp</t>
  </si>
  <si>
    <t>S_BHausNew_Pe08</t>
  </si>
  <si>
    <t>S_BHausNew_Pe07</t>
  </si>
  <si>
    <t>S_BHausNew_Pe045</t>
  </si>
  <si>
    <t>S_BHausNew_Pe04</t>
  </si>
  <si>
    <t>S_BHausNew_dachPr</t>
  </si>
  <si>
    <t>S_BHausNew_dachSk</t>
  </si>
  <si>
    <t>Shtaket_MP_Ptdp</t>
  </si>
  <si>
    <t>Shtaket_MP_Pt</t>
  </si>
  <si>
    <t>Shtaket_MP_Sf</t>
  </si>
  <si>
    <t>Shtaket_MP_Q</t>
  </si>
  <si>
    <t>Shtaket_MP_Ql</t>
  </si>
  <si>
    <t>Shtaket_MP_Vel</t>
  </si>
  <si>
    <t>Shtaket_MP_Atl</t>
  </si>
  <si>
    <t>Shtaket_MP_Pur</t>
  </si>
  <si>
    <t>Shtaket_MP_Dr</t>
  </si>
  <si>
    <t>Shtaket_MP_Sat</t>
  </si>
  <si>
    <t>Shtaket_MP_PEdp</t>
  </si>
  <si>
    <t>Shtaket_MP_Pe08</t>
  </si>
  <si>
    <t>Shtaket_MP_Pe07</t>
  </si>
  <si>
    <t>Shtaket_MP_Pe045</t>
  </si>
  <si>
    <t>Shtaket_MP_Pe04</t>
  </si>
  <si>
    <t>Shtaket_MP_dachPr</t>
  </si>
  <si>
    <t>Shtaket_MP_dachSk</t>
  </si>
  <si>
    <t>Shtaket_MPf_Ptdp</t>
  </si>
  <si>
    <t>Shtaket_MPf_Pt</t>
  </si>
  <si>
    <t>Shtaket_MPf_Sf</t>
  </si>
  <si>
    <t>Shtaket_MPf_Q</t>
  </si>
  <si>
    <t>Shtaket_MPf_Ql</t>
  </si>
  <si>
    <t>Shtaket_MPf_Vel</t>
  </si>
  <si>
    <t>Shtaket_MPf_Atl</t>
  </si>
  <si>
    <t>Shtaket_MPf_Pur</t>
  </si>
  <si>
    <t>Shtaket_MPf_Dr</t>
  </si>
  <si>
    <t>Shtaket_MPf_Sat</t>
  </si>
  <si>
    <t>Shtaket_MPf_PEdp</t>
  </si>
  <si>
    <t>Shtaket_MPf_Pe08</t>
  </si>
  <si>
    <t>Shtaket_MPf_Pe07</t>
  </si>
  <si>
    <t>Shtaket_MPf_Pe045</t>
  </si>
  <si>
    <t>Shtaket_MPf_Pe04</t>
  </si>
  <si>
    <t>Shtaket_MPf_dachPr</t>
  </si>
  <si>
    <t>Shtaket_MPf_dachSk</t>
  </si>
  <si>
    <t>Shtaket_Kr_Ptdp</t>
  </si>
  <si>
    <t>Shtaket_Kr_Pt</t>
  </si>
  <si>
    <t>Shtaket_Kr_Sf</t>
  </si>
  <si>
    <t>Shtaket_Kr_Q</t>
  </si>
  <si>
    <t>Shtaket_Kr_Ql</t>
  </si>
  <si>
    <t>Shtaket_Kr_Vel</t>
  </si>
  <si>
    <t>Shtaket_Kr_Atl</t>
  </si>
  <si>
    <t>Shtaket_Kr_Pur</t>
  </si>
  <si>
    <t>Shtaket_Kr_Dr</t>
  </si>
  <si>
    <t>Shtaket_Kr_Sat</t>
  </si>
  <si>
    <t>Shtaket_Kr_PEdp</t>
  </si>
  <si>
    <t>Shtaket_Kr_Pe08</t>
  </si>
  <si>
    <t>Shtaket_Kr_Pe07</t>
  </si>
  <si>
    <t>Shtaket_Kr_Pe045</t>
  </si>
  <si>
    <t>Shtaket_Kr_Pe04</t>
  </si>
  <si>
    <t>Shtaket_Kr_dachPr</t>
  </si>
  <si>
    <t>Shtaket_Kr_dachSk</t>
  </si>
  <si>
    <t>Shtaket_Pr_Ptdp</t>
  </si>
  <si>
    <t>Shtaket_Pr_Pt</t>
  </si>
  <si>
    <t>Shtaket_Pr_Sf</t>
  </si>
  <si>
    <t>Shtaket_Pr_Q</t>
  </si>
  <si>
    <t>Shtaket_Pr_Ql</t>
  </si>
  <si>
    <t>Shtaket_Pr_Vel</t>
  </si>
  <si>
    <t>Shtaket_Pr_Atl</t>
  </si>
  <si>
    <t>Shtaket_Pr_Pur</t>
  </si>
  <si>
    <t>Shtaket_Pr_Dr</t>
  </si>
  <si>
    <t>Shtaket_Pr_Sat</t>
  </si>
  <si>
    <t>Shtaket_Pr_PEdp</t>
  </si>
  <si>
    <t>Shtaket_Pr_Pe08</t>
  </si>
  <si>
    <t>Shtaket_Pr_Pe07</t>
  </si>
  <si>
    <t>Shtaket_Pr_Pe045</t>
  </si>
  <si>
    <t>Shtaket_Pr_Pe04</t>
  </si>
  <si>
    <t>Shtaket_Pr_dachPr</t>
  </si>
  <si>
    <t>Shtaket_Pr_dachSk</t>
  </si>
  <si>
    <t>Shtaket_Krf_Ptdp</t>
  </si>
  <si>
    <t>Shtaket_Krf_Pt</t>
  </si>
  <si>
    <t>Shtaket_Krf_Sf</t>
  </si>
  <si>
    <t>Shtaket_Krf_Q</t>
  </si>
  <si>
    <t>Shtaket_Krf_Ql</t>
  </si>
  <si>
    <t>Shtaket_Krf_Vel</t>
  </si>
  <si>
    <t>Shtaket_Krf_Atl</t>
  </si>
  <si>
    <t>Shtaket_Krf_Pur</t>
  </si>
  <si>
    <t>Shtaket_Krf_Dr</t>
  </si>
  <si>
    <t>Shtaket_Krf_Sat</t>
  </si>
  <si>
    <t>Shtaket_Krf_PEdp</t>
  </si>
  <si>
    <t>Shtaket_Krf_Pe08</t>
  </si>
  <si>
    <t>Shtaket_Krf_Pe07</t>
  </si>
  <si>
    <t>Shtaket_Krf_Pe045</t>
  </si>
  <si>
    <t>Shtaket_Krf_Pe04</t>
  </si>
  <si>
    <t>Shtaket_Krf_dachPr</t>
  </si>
  <si>
    <t>Shtaket_Krf_dachSk</t>
  </si>
  <si>
    <t>Shtaket_Prf_Ptdp</t>
  </si>
  <si>
    <t>Shtaket_Prf_Pt</t>
  </si>
  <si>
    <t>Shtaket_Prf_Sf</t>
  </si>
  <si>
    <t>Shtaket_Prf_Q</t>
  </si>
  <si>
    <t>Shtaket_Prf_Ql</t>
  </si>
  <si>
    <t>Shtaket_Prf_Vel</t>
  </si>
  <si>
    <t>Shtaket_Prf_Atl</t>
  </si>
  <si>
    <t>Shtaket_Prf_Pur</t>
  </si>
  <si>
    <t>Shtaket_Prf_Dr</t>
  </si>
  <si>
    <t>Shtaket_Prf_Sat</t>
  </si>
  <si>
    <t>Shtaket_Prf_PEdp</t>
  </si>
  <si>
    <t>Shtaket_Prf_Pe08</t>
  </si>
  <si>
    <t>Shtaket_Prf_Pe07</t>
  </si>
  <si>
    <t>Shtaket_Prf_Pe045</t>
  </si>
  <si>
    <t>Shtaket_Prf_Pe04</t>
  </si>
  <si>
    <t>Shtaket_Prf_dachPr</t>
  </si>
  <si>
    <t>Shtaket_Prf_dachSk</t>
  </si>
  <si>
    <t>Klik_mini_Ptdp</t>
  </si>
  <si>
    <t>Klik_mini_Pt</t>
  </si>
  <si>
    <t>Klik_mini_Sf</t>
  </si>
  <si>
    <t>Klik_mini_Q</t>
  </si>
  <si>
    <t>Klik_mini_Ql</t>
  </si>
  <si>
    <t>Klik_mini_Vel</t>
  </si>
  <si>
    <t>Klik_mini_Atl</t>
  </si>
  <si>
    <t>Klik_mini_Pur</t>
  </si>
  <si>
    <t>Klik_mini_Dr</t>
  </si>
  <si>
    <t>Klik_mini_Sat</t>
  </si>
  <si>
    <t>Klik_mini_PEdp</t>
  </si>
  <si>
    <t>Klik_mini_Pe08</t>
  </si>
  <si>
    <t>Klik_mini_Pe07</t>
  </si>
  <si>
    <t>Klik_mini_Pe045</t>
  </si>
  <si>
    <t>Klik_mini_Pe04</t>
  </si>
  <si>
    <t>Klik_mini_dachPr</t>
  </si>
  <si>
    <t>Klik_mini_dachSk</t>
  </si>
  <si>
    <t>Klik_mini_Zn035</t>
  </si>
  <si>
    <t>Klik_mini_Zn04</t>
  </si>
  <si>
    <t>Klik_mini_Zn045</t>
  </si>
  <si>
    <t>Klik_mini_Zn05</t>
  </si>
  <si>
    <t>Klik_mini_Zn055</t>
  </si>
  <si>
    <t>Klik_mini_Zn07</t>
  </si>
  <si>
    <t>Klik_mini_Zn08</t>
  </si>
  <si>
    <t>Klik_mini_Zn09</t>
  </si>
  <si>
    <t>PnC8_Ptdp</t>
  </si>
  <si>
    <t>PnC10_Ptdp</t>
  </si>
  <si>
    <t>PnC10f_Ptdp</t>
  </si>
  <si>
    <t>PnC20_Ptdp</t>
  </si>
  <si>
    <t>PnC21_Ptdp</t>
  </si>
  <si>
    <t>PnHC35_Ptdp</t>
  </si>
  <si>
    <t>PnH60_Ptdp</t>
  </si>
  <si>
    <t>PnH75_Ptdp</t>
  </si>
  <si>
    <t>Стальной Бархат</t>
  </si>
  <si>
    <t>KvintaPl_StBarhat</t>
  </si>
  <si>
    <t>Kamea_StBarhat</t>
  </si>
  <si>
    <t>Kredo_StBarhat</t>
  </si>
  <si>
    <t>Classic_StBarhat</t>
  </si>
  <si>
    <t>Modern_StBarhat</t>
  </si>
  <si>
    <t>Sofit_StBarhat</t>
  </si>
  <si>
    <t>Falz2_StBarhat</t>
  </si>
  <si>
    <t>Klik_StBarhat</t>
  </si>
  <si>
    <t>Klik_mini_StBarhat</t>
  </si>
  <si>
    <t>PnC8_StBarhat</t>
  </si>
  <si>
    <t>PnC10_StBarhat</t>
  </si>
  <si>
    <t>PnC10f_StBarhat</t>
  </si>
  <si>
    <t>PnC20_StBarhat</t>
  </si>
  <si>
    <t>PnC21_StBarhat</t>
  </si>
  <si>
    <t>PnHC35_StBarhat</t>
  </si>
  <si>
    <t>PnH60_StBarhat</t>
  </si>
  <si>
    <t>PnH75_StBarhat</t>
  </si>
  <si>
    <t>ShtripsFalz_StBarhat</t>
  </si>
  <si>
    <t>List_StBarhat</t>
  </si>
  <si>
    <t>S_KDoska_StBarhat</t>
  </si>
  <si>
    <t>S_Vertikal_StBarhat</t>
  </si>
  <si>
    <t>S_EBrus_StBarhat</t>
  </si>
  <si>
    <t>S_BHaus_StBarhat</t>
  </si>
  <si>
    <t>S_BHausNew_StBarhat</t>
  </si>
  <si>
    <t>Shtaket_MP_StBarhat</t>
  </si>
  <si>
    <t>Shtaket_MPf_StBarhat</t>
  </si>
  <si>
    <t>Shtaket_Kr_StBarhat</t>
  </si>
  <si>
    <t>Shtaket_Pr_StBarhat</t>
  </si>
  <si>
    <t>Shtaket_Krf_StBarhat</t>
  </si>
  <si>
    <t>Shtaket_Prf_StBarhat</t>
  </si>
  <si>
    <t>Zn 180</t>
  </si>
  <si>
    <t>0,5/25-30</t>
  </si>
  <si>
    <t>ОСНОВНОЙ</t>
  </si>
  <si>
    <t>Kvinta UNO</t>
  </si>
  <si>
    <t>KvintaUno_Ptdp</t>
  </si>
  <si>
    <t>KvintaUno_Pt</t>
  </si>
  <si>
    <t>KvintaUno_Sf</t>
  </si>
  <si>
    <t>KvintaUno_Q</t>
  </si>
  <si>
    <t>KvintaUno_Ql</t>
  </si>
  <si>
    <t>KvintaUno_Vel</t>
  </si>
  <si>
    <t>KvintaUno_Atl</t>
  </si>
  <si>
    <t>KvintaUno_Pur</t>
  </si>
  <si>
    <t>KvintaUno_StBarhat</t>
  </si>
  <si>
    <t>KvintaUno_Dr</t>
  </si>
  <si>
    <t>KvintaUno_Sat</t>
  </si>
  <si>
    <t>KvintaUno_Pe045</t>
  </si>
  <si>
    <t>Zn 140-200</t>
  </si>
  <si>
    <t>Стальная штукатурка</t>
  </si>
  <si>
    <t>S_Shtukaturka_Ptdp</t>
  </si>
  <si>
    <t>S_Shtukaturka_Pt</t>
  </si>
  <si>
    <t>S_Shtukaturka_Sf</t>
  </si>
  <si>
    <t>S_Shtukaturka_Q</t>
  </si>
  <si>
    <t>S_Shtukaturka_Ql</t>
  </si>
  <si>
    <t>S_Shtukaturka_Vel</t>
  </si>
  <si>
    <t>S_Shtukaturka_Atl</t>
  </si>
  <si>
    <t>S_Shtukaturka_Pur</t>
  </si>
  <si>
    <t>S_Shtukaturka_StBarhat</t>
  </si>
  <si>
    <t>S_Shtukaturka_Dr</t>
  </si>
  <si>
    <t>S_Shtukaturka_Sat</t>
  </si>
  <si>
    <t>0,5/7,99 - 0,5/300 - 8/500</t>
  </si>
  <si>
    <t>PnC8f_Pt</t>
  </si>
  <si>
    <t>PnC20f_Pt</t>
  </si>
  <si>
    <t>PnC8f_Sf</t>
  </si>
  <si>
    <t>PnC20f_Sf</t>
  </si>
  <si>
    <t>PnC8f_Ql</t>
  </si>
  <si>
    <t>PnC20f_Ql</t>
  </si>
  <si>
    <t>PnC8f_Vel</t>
  </si>
  <si>
    <t>PnC20f_Vel</t>
  </si>
  <si>
    <t>PnC8f_Atl</t>
  </si>
  <si>
    <t>PnC20f_Atl</t>
  </si>
  <si>
    <t>PnC8f_Dr</t>
  </si>
  <si>
    <t>PnC20f_Dr</t>
  </si>
  <si>
    <t>PnC8f_Sat</t>
  </si>
  <si>
    <t>PnC20f_Sat</t>
  </si>
  <si>
    <t>PnC8f_PEdp</t>
  </si>
  <si>
    <t>PnC20f_PEdp</t>
  </si>
  <si>
    <t>PnC8f_Pe045</t>
  </si>
  <si>
    <t>PnC20f_Pe046</t>
  </si>
  <si>
    <t>1165/1110</t>
  </si>
  <si>
    <t>PnC8f_Zn045</t>
  </si>
  <si>
    <t>PnC20f_Zn046</t>
  </si>
  <si>
    <t>Профнастил С10 Фигурный</t>
  </si>
  <si>
    <t>Профнастил С8 Фигурный</t>
  </si>
  <si>
    <t>Профнастил С20 Фигурный</t>
  </si>
  <si>
    <t>Velur (1)</t>
  </si>
  <si>
    <t>Защитная пленка</t>
  </si>
  <si>
    <t>При заказе профнастила (+штрипсы, отмотки и плоского листа пр-ва Обн.,Врн., СПБ, НН):</t>
  </si>
  <si>
    <t>S_Shtukaturka_Pe045</t>
  </si>
  <si>
    <t xml:space="preserve">цены действительны с </t>
  </si>
  <si>
    <t>Обнинск</t>
  </si>
  <si>
    <t>Все цены указаны с НДС на складе завода Grand Line</t>
  </si>
  <si>
    <t>Толщина, мм</t>
  </si>
  <si>
    <t>Краснодар</t>
  </si>
  <si>
    <t>Ваша Скидка</t>
  </si>
  <si>
    <t>Изображение продукции</t>
  </si>
  <si>
    <t>Цвет/покрытие</t>
  </si>
  <si>
    <t>Кол-во в упаковке, шт.</t>
  </si>
  <si>
    <t>зеленый RAL 6005</t>
  </si>
  <si>
    <t>цинк</t>
  </si>
  <si>
    <t>зеленый RAL 6005
коричневый RAL 8017</t>
  </si>
  <si>
    <t>зеленый RAL 6005
серый RAL 7040</t>
  </si>
  <si>
    <t>Описание</t>
  </si>
  <si>
    <t>Бензобур ADA GroundDrill-2 в комплекте со шнеком Drill 150</t>
  </si>
  <si>
    <t>Высота/ Ширина, м</t>
  </si>
  <si>
    <t>Цвет / покрытие</t>
  </si>
  <si>
    <t>Кол-во отверстий, шт.</t>
  </si>
  <si>
    <t>Вес, кг/шт.</t>
  </si>
  <si>
    <t>Цена, шт./руб.</t>
  </si>
  <si>
    <t>Элементы панельных ограждений Optima</t>
  </si>
  <si>
    <t>Элементы панельных ограждений Grand Line®</t>
  </si>
  <si>
    <t>Столб оцинкованный 
с полимерным покрытием
с заглушкой</t>
  </si>
  <si>
    <t>51*1,2</t>
  </si>
  <si>
    <t>Наконечник L на столб 62*55</t>
  </si>
  <si>
    <t xml:space="preserve">Столб оцинкованный
с полимерным покрытием
с отверстиями и заглушкой </t>
  </si>
  <si>
    <t>60*40*1,2</t>
  </si>
  <si>
    <t>Наконечник  V на столб 62*55</t>
  </si>
  <si>
    <t>зеленый RAL 6005
серый RAL 7040
цинк</t>
  </si>
  <si>
    <t>Наконечник  универсальный</t>
  </si>
  <si>
    <r>
      <t>Крепление скоба (саморез 5,5*32)</t>
    </r>
    <r>
      <rPr>
        <b/>
        <sz val="10"/>
        <rFont val="Arial Cyr"/>
        <charset val="204"/>
      </rPr>
      <t xml:space="preserve">
</t>
    </r>
    <r>
      <rPr>
        <sz val="10"/>
        <rFont val="Arial Cyr"/>
        <charset val="204"/>
      </rPr>
      <t>саморез оцинкованный, неокрашенный</t>
    </r>
    <r>
      <rPr>
        <b/>
        <sz val="10"/>
        <rFont val="Arial Cyr"/>
        <charset val="204"/>
      </rPr>
      <t xml:space="preserve">
</t>
    </r>
  </si>
  <si>
    <t>зеленый RAL 6005
серый RAL 7024
коричневый RAL 8017
цинк</t>
  </si>
  <si>
    <t xml:space="preserve">Крепление скоба Medium винт М6х30 </t>
  </si>
  <si>
    <t>с полимерным покрытием</t>
  </si>
  <si>
    <t>Наконечник L Medium</t>
  </si>
  <si>
    <t>индивидуально</t>
  </si>
  <si>
    <r>
      <t xml:space="preserve">Крепление хомут 51 мм </t>
    </r>
    <r>
      <rPr>
        <sz val="10"/>
        <color indexed="8"/>
        <rFont val="Arial Cyr"/>
        <charset val="204"/>
      </rPr>
      <t>(комплектация: хомут 51 - 1 шт; крепленипе для рулонной сетки - 1 шт; болт М6х25 с круглой головкой - 1 шт; шайба А6 - 1 шт; гайка М6 - 1шт)</t>
    </r>
  </si>
  <si>
    <t>51 мм</t>
  </si>
  <si>
    <t>Наконечник V Medium</t>
  </si>
  <si>
    <r>
      <t>Крепление хомут 60x40 мм</t>
    </r>
    <r>
      <rPr>
        <b/>
        <sz val="14"/>
        <rFont val="Arial"/>
        <family val="2"/>
        <charset val="204"/>
      </rPr>
      <t xml:space="preserve"> </t>
    </r>
    <r>
      <rPr>
        <sz val="10"/>
        <rFont val="Arial"/>
        <family val="2"/>
        <charset val="204"/>
      </rPr>
      <t>(укомплектовано антивандальными гайками М6)</t>
    </r>
  </si>
  <si>
    <t>25 х 123 мм</t>
  </si>
  <si>
    <t xml:space="preserve">Столб оцинкованный
с отверстиями и заглушкой                                                                                                                                                                                                                                       </t>
  </si>
  <si>
    <t>62*55*1,4</t>
  </si>
  <si>
    <t xml:space="preserve">Столб оцинкованный
с полимерным покрытием
с отверстиями и заглушкой          </t>
  </si>
  <si>
    <r>
      <t xml:space="preserve">Крепление наконечника универсального к столбу 
</t>
    </r>
    <r>
      <rPr>
        <sz val="10"/>
        <rFont val="Arial Cyr"/>
        <charset val="204"/>
      </rPr>
      <t>(болт М6*85/100 + шайба + гайка антивандальная)</t>
    </r>
  </si>
  <si>
    <t>цинк + нерж</t>
  </si>
  <si>
    <t>коричневый RAL 8017</t>
  </si>
  <si>
    <t>Комплект из 2 оснований для столба с болтовым соединением</t>
  </si>
  <si>
    <t>зеленый RAL 6005
серый RAL 7040                                                                                   цинк</t>
  </si>
  <si>
    <t>90*55*1,6</t>
  </si>
  <si>
    <r>
      <t xml:space="preserve">Анкер М12*120 </t>
    </r>
    <r>
      <rPr>
        <sz val="10"/>
        <rFont val="Arial Cyr"/>
        <charset val="204"/>
      </rPr>
      <t>для крепления столба с фланцем к бетонному основанию</t>
    </r>
  </si>
  <si>
    <t>Крепление скоба</t>
  </si>
  <si>
    <t>болт М6*25 + гайка антивандальная М6</t>
  </si>
  <si>
    <t>1 шт.</t>
  </si>
  <si>
    <t>болт М6*85 + гайка антивандальная М6</t>
  </si>
  <si>
    <t>зеленый RAL 6005, серый RAL 7040, коричневый RAL 8017, цинк</t>
  </si>
  <si>
    <r>
      <t xml:space="preserve">Болт М12*100 + шайба + гайка
</t>
    </r>
    <r>
      <rPr>
        <sz val="10"/>
        <rFont val="Arial Cyr"/>
        <charset val="204"/>
      </rPr>
      <t>для крепления столба к винтовой опоре с фланцем</t>
    </r>
  </si>
  <si>
    <t>Инструмент для монтажа винтопор</t>
  </si>
  <si>
    <t>болт М6*110 + гайка антивандальная М6</t>
  </si>
  <si>
    <r>
      <t xml:space="preserve">СББ диаметр 500/5 (6,2 витка на пог. метр)
</t>
    </r>
    <r>
      <rPr>
        <sz val="10"/>
        <rFont val="Arial Cyr"/>
        <charset val="204"/>
      </rPr>
      <t>Индивидуальная упаковка - полипропиленовый рукав</t>
    </r>
  </si>
  <si>
    <t>в бухте 10 погонных метров, цинк</t>
  </si>
  <si>
    <t xml:space="preserve">Струна для крепления СББ/ПББ оцинкованная d струны 2,5 мм </t>
  </si>
  <si>
    <t>в бухте 400 погонных метров, цинк</t>
  </si>
  <si>
    <t>винт М6*30</t>
  </si>
  <si>
    <t xml:space="preserve">Проволока для крепления СББ/ПББ к струне оцинкованная d проволоки 1,6 мм </t>
  </si>
  <si>
    <r>
      <t xml:space="preserve">Штрих-корректоры
</t>
    </r>
    <r>
      <rPr>
        <sz val="10"/>
        <color indexed="8"/>
        <rFont val="Arial Cyr"/>
        <charset val="204"/>
      </rPr>
      <t>используется для реставрации полимерного покрытия</t>
    </r>
  </si>
  <si>
    <t xml:space="preserve">зеленый RAL 6005   коричневый RAL 8017
вишневый RAL 3005   серый RAL 7040
синий RAL 5005   белый RAL 9016
черный RAL 9005   желтый RAL 1021
бежевый RAL 1014   красный RAL 3020 </t>
  </si>
  <si>
    <t>20 мл</t>
  </si>
  <si>
    <t xml:space="preserve">1 шт. </t>
  </si>
  <si>
    <r>
      <t xml:space="preserve">Крепление скоба Bastion 6/8
</t>
    </r>
    <r>
      <rPr>
        <sz val="10"/>
        <rFont val="Arial Cyr"/>
        <charset val="204"/>
      </rPr>
      <t>(болт М6*100/120/130 + гайка антивандальная М6)</t>
    </r>
  </si>
  <si>
    <r>
      <t xml:space="preserve">Клипсатор </t>
    </r>
    <r>
      <rPr>
        <sz val="10"/>
        <color indexed="8"/>
        <rFont val="Arial Cyr"/>
        <charset val="204"/>
      </rPr>
      <t>используется для обжима соединительных клипс при стыковке панелей</t>
    </r>
  </si>
  <si>
    <t>0,55*0,17</t>
  </si>
  <si>
    <t>Крепление к столбам ворот/калиток</t>
  </si>
  <si>
    <t>зеленый RAL 6005
черный RAL 9005</t>
  </si>
  <si>
    <r>
      <t xml:space="preserve">Крепление хомут прямой </t>
    </r>
    <r>
      <rPr>
        <sz val="10"/>
        <rFont val="Arial Cyr"/>
        <charset val="204"/>
      </rPr>
      <t>(укомплектован антивандальными гайками М6)</t>
    </r>
  </si>
  <si>
    <t>62*55</t>
  </si>
  <si>
    <r>
      <t xml:space="preserve">Крепление хомут угловой </t>
    </r>
    <r>
      <rPr>
        <sz val="10"/>
        <rFont val="Arial Cyr"/>
        <charset val="204"/>
      </rPr>
      <t>(укомплектован антивандальными гайками М6)</t>
    </r>
  </si>
  <si>
    <r>
      <t xml:space="preserve">Крепление хомут крайний </t>
    </r>
    <r>
      <rPr>
        <sz val="10"/>
        <rFont val="Arial Cyr"/>
        <charset val="204"/>
      </rPr>
      <t>(укомплектован антивандальными гайками М6)</t>
    </r>
  </si>
  <si>
    <t>Клипса соединительная</t>
  </si>
  <si>
    <t>нерж.</t>
  </si>
  <si>
    <t>* столбы изготавливаются с втулками</t>
  </si>
  <si>
    <t>Высота ограждения, м</t>
  </si>
  <si>
    <t xml:space="preserve">Комплект на 2,5 метра прямого не замкнутого участка без учета финишных столбов и калиток с воротами Модульных ограждений Grand Line® </t>
  </si>
  <si>
    <r>
      <t xml:space="preserve">Цена за 1 п.м. комплекта, руб. </t>
    </r>
    <r>
      <rPr>
        <b/>
        <sz val="10"/>
        <color indexed="10"/>
        <rFont val="Arial Cyr"/>
        <charset val="204"/>
      </rPr>
      <t>Внимание! Расчет теоретический</t>
    </r>
    <r>
      <rPr>
        <b/>
        <sz val="10"/>
        <rFont val="Arial Cyr"/>
        <charset val="204"/>
      </rPr>
      <t>. Продажа ведется по ЭЛЕМЕНТАМ и расчет по конкретному участку будет отличаться!</t>
    </r>
  </si>
  <si>
    <t>Цена, руб/п.м.</t>
  </si>
  <si>
    <t>Ограждение Grand Line®
Эконом</t>
  </si>
  <si>
    <t>Труба 40*20*2500 мм  - 2 шт.   
Cтолб 62*55*2500 (3000) мм  - 1 шт. 
Х - кронштейн - 2 шт.
Саморезы 5,5*19</t>
  </si>
  <si>
    <t>Полимер</t>
  </si>
  <si>
    <t>Cтойка 84*48</t>
  </si>
  <si>
    <t>Cтолб 62*55</t>
  </si>
  <si>
    <t>Панель  860*1600 (1970)мм - 3 шт.
Направляющая  60*20*2500 мм - 2 шт.
Стойка 84*48*2500 (3000) мм - 2 шт.
Крышка универсальная - 1 шт.
Саморезы 5,5*19</t>
  </si>
  <si>
    <t>Элементы модульных ограждений Grand Line®</t>
  </si>
  <si>
    <t xml:space="preserve">Габаритные размеры, мм                             </t>
  </si>
  <si>
    <t>Кол-во в упак , шт</t>
  </si>
  <si>
    <t>Вес, кг/шт</t>
  </si>
  <si>
    <t>860*1600</t>
  </si>
  <si>
    <t>вишневый RAL 3005, зеленый RAL 6005, коричневый RAL 8017, серый RAL 7024, коричневый RR 32</t>
  </si>
  <si>
    <t xml:space="preserve">860*1970 </t>
  </si>
  <si>
    <t xml:space="preserve">Труба                   </t>
  </si>
  <si>
    <t xml:space="preserve">40*20*2500  </t>
  </si>
  <si>
    <t xml:space="preserve">цинк </t>
  </si>
  <si>
    <t>вишневый RAL 3005, зеленый RAL 6005, коричневый RAL 8017</t>
  </si>
  <si>
    <t>40*20*3000</t>
  </si>
  <si>
    <t xml:space="preserve"> Cтолб + заглушка</t>
  </si>
  <si>
    <t xml:space="preserve">62*55*2500     </t>
  </si>
  <si>
    <t>зеленый RAL 6005, коричневый RAL 8017</t>
  </si>
  <si>
    <t xml:space="preserve">62*55*3000   </t>
  </si>
  <si>
    <t xml:space="preserve">Направляющая  </t>
  </si>
  <si>
    <t xml:space="preserve">60*20*2500 </t>
  </si>
  <si>
    <t xml:space="preserve"> Декоративное полотно                                                         </t>
  </si>
  <si>
    <t xml:space="preserve">360*2500    </t>
  </si>
  <si>
    <t>бежевый RAL 1014
жемчужно-белый RAL 1013
коричневый RAL 8017</t>
  </si>
  <si>
    <t xml:space="preserve"> Стойка </t>
  </si>
  <si>
    <t>84*48*2500</t>
  </si>
  <si>
    <t xml:space="preserve">84*48*3000 </t>
  </si>
  <si>
    <t xml:space="preserve">Х-кронштейн </t>
  </si>
  <si>
    <t xml:space="preserve">248*109*40 </t>
  </si>
  <si>
    <t>Крышка универсальная</t>
  </si>
  <si>
    <t>100*87*20</t>
  </si>
  <si>
    <t>Заглушка GL 62*55 пластик</t>
  </si>
  <si>
    <t>62*55*30</t>
  </si>
  <si>
    <t>черный RAL 9005</t>
  </si>
  <si>
    <t>Крышка</t>
  </si>
  <si>
    <t>87*50</t>
  </si>
  <si>
    <t>Заклепка цветная 3,2*8 цвет по RAL</t>
  </si>
  <si>
    <t>вишневый RAL 3005
зеленый RAL 6005
коричневый RAL 8017</t>
  </si>
  <si>
    <t>Саморез с прессшайбой 4,2*16 цвет по RAL</t>
  </si>
  <si>
    <t>Саморез металл-металл 5,5*19 бур.№3 цвет по RAL</t>
  </si>
  <si>
    <t>Саморез металл-дерево 4,8*35 цвет по RAL</t>
  </si>
  <si>
    <t>Цвета модульных ограждений GL: вишневый RAL 3005, зеленый RAL 6005, серый RAL 7024, коричневый RAL 8017, коричневый RR 32</t>
  </si>
  <si>
    <t>Заполнение</t>
  </si>
  <si>
    <t>Внешний вид</t>
  </si>
  <si>
    <t>60х60</t>
  </si>
  <si>
    <t>Наименование Откатных ворот</t>
  </si>
  <si>
    <t>Высота, м</t>
  </si>
  <si>
    <t>Ширина, м</t>
  </si>
  <si>
    <t>Цвет на складе</t>
  </si>
  <si>
    <t>Цвета под заказ</t>
  </si>
  <si>
    <t>Цвета на складе</t>
  </si>
  <si>
    <t>Profi</t>
  </si>
  <si>
    <t>Панель Profi</t>
  </si>
  <si>
    <t>RAL 6005 - зеленый</t>
  </si>
  <si>
    <t>RAL 8017 - коричневый 
(открывание универсальное)</t>
  </si>
  <si>
    <t>RAL 6005 - зелёный 
RAL 3005 - вишневый 
RAL 7024 - серый
RR 32 - коричневый</t>
  </si>
  <si>
    <t>открывание</t>
  </si>
  <si>
    <t>влево, вправо</t>
  </si>
  <si>
    <t>При заказе откатных ворот Profi необходимо указать сторону отката ворот: вправо или влево.</t>
  </si>
  <si>
    <t>Комплект для автоматизации откатных ворот</t>
  </si>
  <si>
    <t>Длина ворот до 6 м
Цена, руб.</t>
  </si>
  <si>
    <t>Дополнительные элементы для монтажа откатных ворот на Кирпичные столбы</t>
  </si>
  <si>
    <t xml:space="preserve">Комплект включает в себя:
Привод Nice (Италия) Road400KIT
Встроенный блок управления
Встроенный радиоприемник SMXI
2 пульта Flo2R-S
Зубчатую рейку оцинкованную Alutech с креплением                                                           </t>
  </si>
  <si>
    <t>Кронштейн крепления нижнего и верхнего ловителей</t>
  </si>
  <si>
    <t xml:space="preserve">Кронштейн FLGU.400.0904 </t>
  </si>
  <si>
    <t>2 шт 
на один проём</t>
  </si>
  <si>
    <t>Рейка с креплением для откатных ворот</t>
  </si>
  <si>
    <t>Кронштейн крепления поддерживающих роликов</t>
  </si>
  <si>
    <t xml:space="preserve">Кронштейн SGN.02.718 </t>
  </si>
  <si>
    <t>1 шт
на один проём</t>
  </si>
  <si>
    <t>Комплект включает в себя :
Рейка оцинкованная зубчатая ROA8
Болт с полукруглой головкой
Пластина закладная для профиля С
Скоба для профиля С</t>
  </si>
  <si>
    <t>Дополнительно можно приобрести</t>
  </si>
  <si>
    <t>Ворота Profi можно заказать в исполнении с механическим замком, данную опцию необходимо указывать при размещении заказа на производство, к стоимости ворот добавится стоимость замка</t>
  </si>
  <si>
    <t>Комплект: Замок для откатных ворот</t>
  </si>
  <si>
    <t>LSKZ60 U2</t>
  </si>
  <si>
    <t>Ручка</t>
  </si>
  <si>
    <t>3006S</t>
  </si>
  <si>
    <t>Цилиндр</t>
  </si>
  <si>
    <t>3012VSZ</t>
  </si>
  <si>
    <t>Ключи</t>
  </si>
  <si>
    <t>3 штуки</t>
  </si>
  <si>
    <t>Ответная планка SSKZ QF</t>
  </si>
  <si>
    <t>1 штука</t>
  </si>
  <si>
    <t>Ответная планка O-SET</t>
  </si>
  <si>
    <t>Откатные ворота</t>
  </si>
  <si>
    <t>Изображение</t>
  </si>
  <si>
    <t>1 Lock</t>
  </si>
  <si>
    <t>Калитка Medium</t>
  </si>
  <si>
    <t>Карта
Medium 
(без ребер жесткости)</t>
  </si>
  <si>
    <t>зеленый RAL 6005 коричневый RAL 8017</t>
  </si>
  <si>
    <t>Панель Bastion</t>
  </si>
  <si>
    <t xml:space="preserve">зеленый RAL 6005 </t>
  </si>
  <si>
    <t>Ворота Profi</t>
  </si>
  <si>
    <t>Ворота Medium</t>
  </si>
  <si>
    <t>Карта
Medium
(без ребер жесткости)</t>
  </si>
  <si>
    <t>серый RAL 7040</t>
  </si>
  <si>
    <t>Состав комплекта</t>
  </si>
  <si>
    <t>Цена, руб</t>
  </si>
  <si>
    <t>Габаритные размеры, м</t>
  </si>
  <si>
    <t>Засов в сборе: 
• основной кронштейн на прямоугольный / квадратный профиль–1 шт
• ответная скоба на прямоугольный / квадратный профиль–1 шт
• ось – ригель 20 мм–1 шт
• ручка – 1 шт
Саморезы 5,5 х 19 для крепления кронштейна и скобы – 8 шт</t>
  </si>
  <si>
    <t>2,00*1,00</t>
  </si>
  <si>
    <t>серый RAL 7040
коричневый RAL 8017</t>
  </si>
  <si>
    <r>
      <t xml:space="preserve">Калитка Эконом Lock </t>
    </r>
    <r>
      <rPr>
        <b/>
        <sz val="10"/>
        <color indexed="10"/>
        <rFont val="Arial Cyr"/>
        <charset val="204"/>
      </rPr>
      <t>New</t>
    </r>
  </si>
  <si>
    <t>60х40</t>
  </si>
  <si>
    <t>2,00*3,45</t>
  </si>
  <si>
    <t xml:space="preserve">Проушины для навесного замка </t>
  </si>
  <si>
    <t>Проушины – 2 шт
Саморезы 5,5 х 19 – 8 шт</t>
  </si>
  <si>
    <r>
      <t xml:space="preserve">Ворота Эконом Lock </t>
    </r>
    <r>
      <rPr>
        <b/>
        <sz val="10"/>
        <color indexed="10"/>
        <rFont val="Arial Cyr"/>
        <charset val="204"/>
      </rPr>
      <t>New</t>
    </r>
  </si>
  <si>
    <r>
      <t xml:space="preserve">Ригель в сборе - 1 шт
Саморезы 5,5х19 - 6 шт
</t>
    </r>
    <r>
      <rPr>
        <b/>
        <sz val="10"/>
        <rFont val="Arial Cyr"/>
        <charset val="204"/>
      </rPr>
      <t>(не подходит для ворот из круглой трубы 51 мм)</t>
    </r>
  </si>
  <si>
    <t>зеленый RAL 6005
серый RAL 7040
черный RAL 9005</t>
  </si>
  <si>
    <t xml:space="preserve">Комплект ворот и калитки Medium </t>
  </si>
  <si>
    <t>вишневый RAL 3005
зеленый RAL 6005
серый RAL 7024
коричневый RAL 8017
коричневый RR 32</t>
  </si>
  <si>
    <t>Комплект ворот и калитки  Эконом NoLock</t>
  </si>
  <si>
    <r>
      <t xml:space="preserve">Комплект ворот включает: </t>
    </r>
    <r>
      <rPr>
        <sz val="10"/>
        <rFont val="Arial Cyr"/>
        <charset val="204"/>
      </rPr>
      <t xml:space="preserve">2 створки, 2 опорных столба, петли Locinox GAM12 угол открывания 130град, притворная планка для навесного замка, 1 ригель
</t>
    </r>
    <r>
      <rPr>
        <b/>
        <sz val="10"/>
        <rFont val="Arial Cyr"/>
        <charset val="204"/>
      </rPr>
      <t xml:space="preserve">Комплект калитки включает: 1 </t>
    </r>
    <r>
      <rPr>
        <sz val="10"/>
        <rFont val="Arial Cyr"/>
        <charset val="204"/>
      </rPr>
      <t>створка, 2 опорных столба, петли Locinox GAM12 угол открывания 130град, притворная планка</t>
    </r>
  </si>
  <si>
    <t xml:space="preserve"> 2,00*1,00</t>
  </si>
  <si>
    <t>2,00*3,6</t>
  </si>
  <si>
    <t>Комплект ворот и калитки  Эконом Lock</t>
  </si>
  <si>
    <r>
      <rPr>
        <b/>
        <sz val="10"/>
        <rFont val="Arial Cyr"/>
        <charset val="204"/>
      </rPr>
      <t>Комплект ворот включает:</t>
    </r>
    <r>
      <rPr>
        <sz val="10"/>
        <rFont val="Arial Cyr"/>
        <charset val="204"/>
      </rPr>
      <t xml:space="preserve"> 2 створки, 2 опорных столба, петли Locinox GAM12, угол открывания 130°, замок FORTYLOCK, планка ответная, 1 ригель
</t>
    </r>
    <r>
      <rPr>
        <b/>
        <sz val="10"/>
        <rFont val="Arial Cyr"/>
        <charset val="204"/>
      </rPr>
      <t>Комплект калитки включает:</t>
    </r>
    <r>
      <rPr>
        <sz val="10"/>
        <rFont val="Arial Cyr"/>
        <charset val="204"/>
      </rPr>
      <t xml:space="preserve"> 1 створка, 2 опорных столба, петли Locinox GAM12, угол открывания 130°, замок FORTYLOCK, планка ответная</t>
    </r>
  </si>
  <si>
    <t>Комплект ворот и калитки Profi, Премиум и Премиум плюс</t>
  </si>
  <si>
    <r>
      <t xml:space="preserve">Комплект ворот включает:
</t>
    </r>
    <r>
      <rPr>
        <sz val="10"/>
        <rFont val="Arial Cyr"/>
        <charset val="204"/>
      </rPr>
      <t xml:space="preserve">2 створки ворот, 2 опорных столба, регулируемые петли угол открывания 180 град, замок Locinox, ответная планка, 2 ригеля Locinox для фиксации створок в землю 
</t>
    </r>
    <r>
      <rPr>
        <b/>
        <sz val="10"/>
        <rFont val="Arial Cyr"/>
        <charset val="204"/>
      </rPr>
      <t xml:space="preserve">Комплект калитки включает:
</t>
    </r>
    <r>
      <rPr>
        <sz val="10"/>
        <rFont val="Arial Cyr"/>
        <charset val="204"/>
      </rPr>
      <t>створка, 2 столба, регулируемые петли угол открывания 180 град, ответная планка, замок Locinox</t>
    </r>
  </si>
  <si>
    <t>Цены указаны на  стандартные цвета. Возможно исполнение в других цветах стоимость по согласованию.</t>
  </si>
  <si>
    <t>Модель</t>
  </si>
  <si>
    <t>Размеры</t>
  </si>
  <si>
    <t>Комплект</t>
  </si>
  <si>
    <t>мин</t>
  </si>
  <si>
    <t>макс</t>
  </si>
  <si>
    <t>Комплект: Промышленный замок в металлическом корпусе*</t>
  </si>
  <si>
    <t>Замок LAKQ6060 (4040) U2**</t>
  </si>
  <si>
    <t>60мм</t>
  </si>
  <si>
    <t>80мм</t>
  </si>
  <si>
    <t>6005, 9005, Алюминий</t>
  </si>
  <si>
    <t>Ответная планка из полиамида</t>
  </si>
  <si>
    <t>SMKL QF</t>
  </si>
  <si>
    <t>40мм</t>
  </si>
  <si>
    <t>&gt;</t>
  </si>
  <si>
    <t>6005, 9005, 9010</t>
  </si>
  <si>
    <t>3006М</t>
  </si>
  <si>
    <t>Элемент быстрого монтажа</t>
  </si>
  <si>
    <t>QUICK-FIX</t>
  </si>
  <si>
    <t>Ответная планка SAKL QF</t>
  </si>
  <si>
    <t>Упорная часть</t>
  </si>
  <si>
    <t>Алюминий с резиновыми полосами</t>
  </si>
  <si>
    <t>Петля для промышленных ворот</t>
  </si>
  <si>
    <t>GBMU4DSHIELD12</t>
  </si>
  <si>
    <t>Сталь</t>
  </si>
  <si>
    <t>Петля с регулировкой в четырех направлениях</t>
  </si>
  <si>
    <t>Комплект: Электро механический замок в металлическом корпусе*</t>
  </si>
  <si>
    <t>LEKQ6060 U4</t>
  </si>
  <si>
    <t>GBMU4DSHIELD16</t>
  </si>
  <si>
    <t>3006R</t>
  </si>
  <si>
    <t>GBMU4D16Z</t>
  </si>
  <si>
    <t>GBMU4D20Z</t>
  </si>
  <si>
    <t>G90Z-M20</t>
  </si>
  <si>
    <t>Петля с регулировкой в одном направлении</t>
  </si>
  <si>
    <t>Комплект : Замок в полиамидном корпусе*</t>
  </si>
  <si>
    <t>LAKZ6060 (4040) P1**</t>
  </si>
  <si>
    <t>Петля универсальная</t>
  </si>
  <si>
    <r>
      <t xml:space="preserve"> GAM12 130 мм </t>
    </r>
    <r>
      <rPr>
        <sz val="10"/>
        <rFont val="Arial Cyr"/>
        <charset val="204"/>
      </rPr>
      <t>(для калиток Эконом)</t>
    </r>
  </si>
  <si>
    <t>50 штук</t>
  </si>
  <si>
    <t>Петля универсального открывания</t>
  </si>
  <si>
    <t>3006P</t>
  </si>
  <si>
    <t>3012VCA</t>
  </si>
  <si>
    <r>
      <t xml:space="preserve"> GAM12 150 мм </t>
    </r>
    <r>
      <rPr>
        <sz val="10"/>
        <rFont val="Arial Cyr"/>
        <charset val="204"/>
      </rPr>
      <t>(для ворот Эконом)</t>
    </r>
  </si>
  <si>
    <t>Ригель створки ворот</t>
  </si>
  <si>
    <t>VSF QF</t>
  </si>
  <si>
    <t>мин 40</t>
  </si>
  <si>
    <t>+140</t>
  </si>
  <si>
    <t>+100</t>
  </si>
  <si>
    <t>Основная часть - алюминий, Запорная часть - цинк</t>
  </si>
  <si>
    <t>Комплект: Врезной замок HYBRID*</t>
  </si>
  <si>
    <t>HYBRID 6060</t>
  </si>
  <si>
    <t>отсутствует</t>
  </si>
  <si>
    <t>Фиксатор ригелей ворот</t>
  </si>
  <si>
    <t>OGS</t>
  </si>
  <si>
    <t>40-50-60</t>
  </si>
  <si>
    <t xml:space="preserve">ригелей VSF VSA </t>
  </si>
  <si>
    <t xml:space="preserve">Полиэтилен армированный стекловолокном                     </t>
  </si>
  <si>
    <t>Ручки</t>
  </si>
  <si>
    <t>3006M,   алюминий</t>
  </si>
  <si>
    <t>Цилиндр и ключи</t>
  </si>
  <si>
    <t>3012G33Z, 3 штуки</t>
  </si>
  <si>
    <t>Фиксатор створки ворот</t>
  </si>
  <si>
    <t>UGC</t>
  </si>
  <si>
    <t>Алюмин</t>
  </si>
  <si>
    <t>+40</t>
  </si>
  <si>
    <t>Положение крюка под нижним профилем ворот</t>
  </si>
  <si>
    <t>Защитная накладка для замка</t>
  </si>
  <si>
    <t>3020-HYB, цвет - черный</t>
  </si>
  <si>
    <t>Доводчик гидравл. для любого расп. петель</t>
  </si>
  <si>
    <t>LION</t>
  </si>
  <si>
    <t>для створок 
весом до 75 кг или шириной до 1,1 м</t>
  </si>
  <si>
    <t>Регулируемые скорость и сила закрытия 
Цвет: RAL9005, ZILV</t>
  </si>
  <si>
    <t>ответная планка SHKM</t>
  </si>
  <si>
    <t>Цвет алюминий</t>
  </si>
  <si>
    <t>Доводчик гидравл. поливалентный</t>
  </si>
  <si>
    <t>SAMSON-2</t>
  </si>
  <si>
    <t>для створок 
весом до 150 кг и шириной до 2,0 м</t>
  </si>
  <si>
    <t xml:space="preserve">Регулируемые скорость и сила закрытия </t>
  </si>
  <si>
    <t>Комплект: Врезной замок FORTYLOCK*</t>
  </si>
  <si>
    <t xml:space="preserve">FORTYLOCKSET40ALUSTD </t>
  </si>
  <si>
    <t>40 мм</t>
  </si>
  <si>
    <t>Доводчик гидравлический и петля (два-в-одном), 180°</t>
  </si>
  <si>
    <t>MAMMOTH</t>
  </si>
  <si>
    <t>для створок 
весом до 150 кг и шириной до 1,5 м</t>
  </si>
  <si>
    <t>Регулируемые скорость и сила закрытия</t>
  </si>
  <si>
    <t>3012-54-STD-VSZ, 3 штуки</t>
  </si>
  <si>
    <t>пластик</t>
  </si>
  <si>
    <t>Ответная планка SFKI</t>
  </si>
  <si>
    <t>Комплект: Замок для откатных ворот*</t>
  </si>
  <si>
    <t>LSKZ6060 U2</t>
  </si>
  <si>
    <t>Доводчик регулируемый (без рельсы)</t>
  </si>
  <si>
    <t>VERTICLOSE</t>
  </si>
  <si>
    <t>Регулируемые скорость и сила закрытия. Отбойник прилагается в комплекте</t>
  </si>
  <si>
    <t>Фиксатор створки ворот антивандальный</t>
  </si>
  <si>
    <t>HOOK-IN</t>
  </si>
  <si>
    <t>нерж</t>
  </si>
  <si>
    <t>Предотвращает взлом ворот с помощью лома</t>
  </si>
  <si>
    <t>Нержавеющая сталь</t>
  </si>
  <si>
    <t>Алюминий</t>
  </si>
  <si>
    <t xml:space="preserve">*Стоимость комплекта складывается из замка (ручки, цилиндр, ключи – отдельно не продаются) и ответной планки
</t>
  </si>
  <si>
    <t>**6060 (4040) – поддерживается на складе для 60 и 40 профиля</t>
  </si>
  <si>
    <t>Дополнительно можно заказать любую продукцию из каталога Locinox, сроки поставки и цену узнавайте в отделах продаж</t>
  </si>
  <si>
    <t xml:space="preserve">Все цены указаны с НДС на складе завода Grand Line </t>
  </si>
  <si>
    <t>Название упаковки обобщенное</t>
  </si>
  <si>
    <t>Название упаковки в 1С</t>
  </si>
  <si>
    <t>Описание упаковки</t>
  </si>
  <si>
    <t>Профиль</t>
  </si>
  <si>
    <t>Кол-во листов в упаковке, шт</t>
  </si>
  <si>
    <t>Max длина упаковки, м</t>
  </si>
  <si>
    <t>Max ширина упаковки, м</t>
  </si>
  <si>
    <t>Ед. изм</t>
  </si>
  <si>
    <r>
      <t xml:space="preserve">Цена руб./ед.изм </t>
    </r>
    <r>
      <rPr>
        <b/>
        <sz val="10"/>
        <color indexed="10"/>
        <rFont val="Arial Cyr"/>
        <charset val="204"/>
      </rPr>
      <t>при отгрузке со следующих заводов:</t>
    </r>
  </si>
  <si>
    <t>максимальное</t>
  </si>
  <si>
    <t>минимальное</t>
  </si>
  <si>
    <t>Упаковка для металлочерепицы</t>
  </si>
  <si>
    <t>Упаковка СБ Усиленная</t>
  </si>
  <si>
    <t>Упаковка МЧ (с/б - Усиленная)</t>
  </si>
  <si>
    <t>3 продольные доски снизу, плетеная пленка, стяжка лентой через брус</t>
  </si>
  <si>
    <t>все, при длине изделия
меньше 4,5м</t>
  </si>
  <si>
    <t>изделия-1, образцы-20</t>
  </si>
  <si>
    <t>Упаковка СБ Усиленная XL</t>
  </si>
  <si>
    <t>Упаковка МЧ (с/б - Усиленная XL)</t>
  </si>
  <si>
    <t>все, при длине изделия больше 4,5м</t>
  </si>
  <si>
    <t>Упаковка СБ Экстра</t>
  </si>
  <si>
    <t>Упаковка МЧ (с/б - Экстра)</t>
  </si>
  <si>
    <t>3 продольные доски снизу, 2 продольные доски сверху, плетеная пленка, стяжка лентой через брус</t>
  </si>
  <si>
    <t>3 продольные доски снизу, плетеная пленка, слой ДВП, стяжка лентой через брус</t>
  </si>
  <si>
    <t>Упаковка СБ Uno Усиленная mini</t>
  </si>
  <si>
    <t>Упаковка МЧ Uno mini</t>
  </si>
  <si>
    <t>3 продольные доски снизу, плетеная пленка, стяжка лентой через брус; панели складываются в одну стопку</t>
  </si>
  <si>
    <t xml:space="preserve">МЧ Kvinta Uno </t>
  </si>
  <si>
    <t>Упаковка СБ Uno Усиленная</t>
  </si>
  <si>
    <t>Упаковка МЧ Uno (с/б - Усиленная)</t>
  </si>
  <si>
    <t>3 продольные доски снизу, плетеная пленка, стяжка лентой через брус; панели складываются в две стопки</t>
  </si>
  <si>
    <t>изделия-100, образцы-20</t>
  </si>
  <si>
    <t>Упаковка для профнастила</t>
  </si>
  <si>
    <t>Упаковка СБ</t>
  </si>
  <si>
    <t>Упаковка ПН (сб/1210)</t>
  </si>
  <si>
    <r>
      <t>плетеная пленка</t>
    </r>
    <r>
      <rPr>
        <sz val="10"/>
        <rFont val="Arial Cyr"/>
        <charset val="204"/>
      </rPr>
      <t>*, стяжка лентой через брус</t>
    </r>
  </si>
  <si>
    <t>С8, С10, С20</t>
  </si>
  <si>
    <t>Упаковка ПН (сб/1210) продольная стяжка</t>
  </si>
  <si>
    <t>С8, С10, С20, изделия из цинка, одного размера</t>
  </si>
  <si>
    <t>Упаковка ПН (сб/1100)</t>
  </si>
  <si>
    <t>С21, НС35</t>
  </si>
  <si>
    <t>Упаковка ПН (сб/1100) продольная стяжка</t>
  </si>
  <si>
    <t>НС35 изделия из цинка, одного размера</t>
  </si>
  <si>
    <t>Упаковка ПН (сб/930)</t>
  </si>
  <si>
    <t>Н60</t>
  </si>
  <si>
    <t>толщина 0,45-0,5 - 120, 0,55-0,6 - 100, 0,65-0,7 - 85, 0,8 - 71, 0,9 - 57</t>
  </si>
  <si>
    <t>Упаковка ПН (сб/830)</t>
  </si>
  <si>
    <t>Н75</t>
  </si>
  <si>
    <t>Упаковка Поддон</t>
  </si>
  <si>
    <t>Упаковка ПН (поддон/1210)</t>
  </si>
  <si>
    <t>поддон, плетеная пленка*, стяжка лентой</t>
  </si>
  <si>
    <t>Упаковка ПН (поддон) продольная стяжка</t>
  </si>
  <si>
    <t>Упаковка ПН (поддон/1100)</t>
  </si>
  <si>
    <t>С21</t>
  </si>
  <si>
    <t>Упаковка для пл. листа, штрипса и отмотки</t>
  </si>
  <si>
    <t>Упаковка ПЛ (поддон)</t>
  </si>
  <si>
    <t>плоский лист, отмотка</t>
  </si>
  <si>
    <t>толщина 0,4-0,45 - 200, 0,48-0,55 - 180, 0,7 - 125, 0,8 - 105, 0,9 - 95</t>
  </si>
  <si>
    <t>1,06/1,26</t>
  </si>
  <si>
    <t>Упаковка ПЛ (поддон) продольная стяжка</t>
  </si>
  <si>
    <t>плоский лист, отмотка - обязательна только для максимального кол-ва листов</t>
  </si>
  <si>
    <t>Упаковка ПЛ (поддон/1060)</t>
  </si>
  <si>
    <t>Упаковка штрипса (поддон)</t>
  </si>
  <si>
    <t>штрипс</t>
  </si>
  <si>
    <t>Упаковка Р (рулон)</t>
  </si>
  <si>
    <t>листы скручиваются в рулон, закрепляются скотчем</t>
  </si>
  <si>
    <t>плоский лист</t>
  </si>
  <si>
    <t>длина 3м - 3, 7,99м - 1</t>
  </si>
  <si>
    <t>0,50 - 0,60</t>
  </si>
  <si>
    <t>Упаковка штрипса (рулон)</t>
  </si>
  <si>
    <t>листы скручиваются в рулон, плетеная пленка*, стяжка лентой через доску.</t>
  </si>
  <si>
    <t>Упаковка отмотки (рулон)</t>
  </si>
  <si>
    <t>отмотка</t>
  </si>
  <si>
    <t>Упаковка отмотки (рулон усиленный)</t>
  </si>
  <si>
    <t>Упаковка Р (поддон)</t>
  </si>
  <si>
    <t>Упаковка отмотки (поддон Р)</t>
  </si>
  <si>
    <t>листы скручиваются в рулон, картонная вставка, плетеная пленка*, стяжка лентой через доску, рулонный поддон</t>
  </si>
  <si>
    <t>Упаковка штрипса (поддон Р)</t>
  </si>
  <si>
    <t>Упаковка отмотки (Макси)_Коммунар</t>
  </si>
  <si>
    <t>поддон, листы скручиваются в рулон, плетеная пленка, стяжка лентой</t>
  </si>
  <si>
    <t>Упаковка для фальца</t>
  </si>
  <si>
    <t>Упаковка из расчета за кв.м. фальца</t>
  </si>
  <si>
    <t>Упаковка для сайдинга</t>
  </si>
  <si>
    <t>Упаковка Пленка</t>
  </si>
  <si>
    <t>Упаковка из расчета за кв.м. сайдинга</t>
  </si>
  <si>
    <t>Упаковка для доборных элементов</t>
  </si>
  <si>
    <t>Упаковка ДЭ (поддон)</t>
  </si>
  <si>
    <t>10 и более ДЭ (пленка) упаковывается на поддон</t>
  </si>
  <si>
    <t>бесплатно</t>
  </si>
  <si>
    <t>Упаковка ДЭ (пленка)</t>
  </si>
  <si>
    <t>пленка</t>
  </si>
  <si>
    <t>ДЭ, штакетник, вентпрогон, тройники</t>
  </si>
  <si>
    <t>ДЭ-30, Штакетник-50,Тройник-10,вент-прогон-50</t>
  </si>
  <si>
    <t>Упаковка для софита</t>
  </si>
  <si>
    <t>Упаковка софита (поддон)</t>
  </si>
  <si>
    <t>поддон, гофрокартон, упаковка сайдинга "Пленка", плетеная пленка, стяжка лентой через бруски</t>
  </si>
  <si>
    <t>Упаковка софита - пленка</t>
  </si>
  <si>
    <t>плетеная пленка</t>
  </si>
  <si>
    <t>изделия-1, образцы-15</t>
  </si>
  <si>
    <t>Упаковка штакетника</t>
  </si>
  <si>
    <t>Упаковка штакетника СБ/1200</t>
  </si>
  <si>
    <t>Упаковка штакетника (сб/1200)</t>
  </si>
  <si>
    <t>плетеная пленка*, стяжка лентой через брус</t>
  </si>
  <si>
    <t>весь шткетник</t>
  </si>
  <si>
    <t>Круг-450, Мобр. и Побр. - 501</t>
  </si>
  <si>
    <t>Упаковка штакетника СБ/550</t>
  </si>
  <si>
    <t>Упаковка штакетника (сб/550)</t>
  </si>
  <si>
    <t>Круг-330, Мобр., Побр., Прямоуг - 500</t>
  </si>
  <si>
    <t>Упаковка металлической вентилируемой обрешетки:</t>
  </si>
  <si>
    <t>Упаковка металлической вентилируемой обрешетки</t>
  </si>
  <si>
    <t>Упаковка вентпрогона (сб/1060)</t>
  </si>
  <si>
    <t>Упаковка вентпрогона фальц (сб/550)</t>
  </si>
  <si>
    <t>Упаковка колпаков, тройников, образцов</t>
  </si>
  <si>
    <t>Упаковка штучного товара</t>
  </si>
  <si>
    <t>Упаковка Колпаков (пленка)</t>
  </si>
  <si>
    <t>только СПб</t>
  </si>
  <si>
    <t>Упаковка нестандартная для металлочерепицы и профнастила</t>
  </si>
  <si>
    <t>Упаковка нестандартная</t>
  </si>
  <si>
    <t>МЧ, С8, С10, С20, НС35</t>
  </si>
  <si>
    <t>* продукция с цинковым покрытием не укрывается плетеной пленкой</t>
  </si>
  <si>
    <t>Название</t>
  </si>
  <si>
    <t>Размер</t>
  </si>
  <si>
    <t>Цена</t>
  </si>
  <si>
    <t>Нижний Новгород</t>
  </si>
  <si>
    <t>Нименование</t>
  </si>
  <si>
    <t>Размеры изделия*, мм</t>
  </si>
  <si>
    <t>Цена руб./шт.</t>
  </si>
  <si>
    <t>Размеры изделия, мм</t>
  </si>
  <si>
    <t>Серия «Люкс»</t>
  </si>
  <si>
    <t>ДЫМНИК-ФЛЮГЕР ВИНДВУДУ на трубу</t>
  </si>
  <si>
    <t>Стильные штучки для дома и дачи</t>
  </si>
  <si>
    <t>Флюгер Люкс большой</t>
  </si>
  <si>
    <t>950 x 300</t>
  </si>
  <si>
    <t>Флюгер-дымник Аист, Дракон, Орел 
110-130 и 130-150</t>
  </si>
  <si>
    <t>Для каждого вида свой</t>
  </si>
  <si>
    <t xml:space="preserve">  Таблички </t>
  </si>
  <si>
    <t>330 х 250 х 1</t>
  </si>
  <si>
    <t>Флюгер-дымник Аист, Дракон, Орел 
150-170 и 170-190</t>
  </si>
  <si>
    <t>Серия «Оптимус»</t>
  </si>
  <si>
    <t>Флюгер-дымник Аист, Дракон, Орел 
200-230 и 230-250</t>
  </si>
  <si>
    <t>Флюгер большой</t>
  </si>
  <si>
    <t>810 х 350</t>
  </si>
  <si>
    <t>Флюгер-дымник Аист, Дракон, Орел 
250-280 и 280-300</t>
  </si>
  <si>
    <t>Указатель ветра большой</t>
  </si>
  <si>
    <t>1100 х 400</t>
  </si>
  <si>
    <t>Флюгер большой "эконом"</t>
  </si>
  <si>
    <t>Серия «Подарочный»</t>
  </si>
  <si>
    <t>Флюгер малый</t>
  </si>
  <si>
    <t>650 х 220</t>
  </si>
  <si>
    <t>Ключницы</t>
  </si>
  <si>
    <t>90 х 190 х 18</t>
  </si>
  <si>
    <t>Указатель ветра малый</t>
  </si>
  <si>
    <t>800 х 250</t>
  </si>
  <si>
    <t>Крепления дополнительные</t>
  </si>
  <si>
    <t>Термометр уличный</t>
  </si>
  <si>
    <t>330 х 220 х 6</t>
  </si>
  <si>
    <t>Крепление универсальное</t>
  </si>
  <si>
    <t>30 x 150 x 550</t>
  </si>
  <si>
    <t>Крепление винтовое на конек (для серии Оптимус)</t>
  </si>
  <si>
    <t>25 x 105 x 370</t>
  </si>
  <si>
    <t>Крепление винтовое на конек (для серии Подарочный)</t>
  </si>
  <si>
    <t>Комплекты ФЛАГИ</t>
  </si>
  <si>
    <t>Комплект № 1: Флаг - 1 шт., Древко - 2 шт., Кронштейн настенный "Классика" двойной, Георгий, черный</t>
  </si>
  <si>
    <t>Крепление на дымник  (для серии Оптимус)</t>
  </si>
  <si>
    <t>30 x 110 x 600</t>
  </si>
  <si>
    <t>Комплект №2: Флаг - 1 шт., Древко - 3 шт., Кронштейн настенный "Классика" тройной, Орел, черный</t>
  </si>
  <si>
    <t>Крепление на колпак (для серии Подарочный)</t>
  </si>
  <si>
    <t>Комплект №3: Флаг - 1 шт., Древко - 1 шт., Кронштейн настенный "Элегант" Георгий, одинарный, щит красный/георгий золото</t>
  </si>
  <si>
    <t>Для флюгера большого Люкс в комплекте крепление на конек.
Крепление на фронтон входит в комплект:
- флюгера большого Оптимус
- указателя ветра большого Оптимус
- флюгера малого Падарочный
- указателя ветра малого Подарочный</t>
  </si>
  <si>
    <t>Комплект №4: Флаг - 1 шт., Древко - 1 шт., Кронштейн настенный "Элегант" Орел, одинарный, щит красный/орел золото</t>
  </si>
  <si>
    <t>Все цены указаны с учетом НДС.</t>
  </si>
  <si>
    <t>* - Для флюгеров и указателей ветра указаны размеры в собранном виде</t>
  </si>
  <si>
    <t>** - Для флюгеров-дымников указан диаметр выходного отверстия трубы</t>
  </si>
  <si>
    <t xml:space="preserve">Флюгеры «Duck and Dog» </t>
  </si>
  <si>
    <t>PE Дачный склад</t>
  </si>
  <si>
    <t xml:space="preserve">PE Matt </t>
  </si>
  <si>
    <t>KvintaPl_QproMatt</t>
  </si>
  <si>
    <t>KvintaUno_QproMatt</t>
  </si>
  <si>
    <t>Kamea_QproMatt</t>
  </si>
  <si>
    <t>Kredo_QproMatt</t>
  </si>
  <si>
    <t>Classic_QproMatt</t>
  </si>
  <si>
    <t>Modern_QproMatt</t>
  </si>
  <si>
    <t>Sofit_QproMatt</t>
  </si>
  <si>
    <t>Falz2_QproMatt</t>
  </si>
  <si>
    <t>Klik_QproMatt</t>
  </si>
  <si>
    <t>Klik_mini_QproMatt</t>
  </si>
  <si>
    <t>PnC8_QproMatt</t>
  </si>
  <si>
    <t>PnC10_QproMatt</t>
  </si>
  <si>
    <t>PnC10f_QproMatt</t>
  </si>
  <si>
    <t>PnC20_QproMatt</t>
  </si>
  <si>
    <t>PnC21_QproMatt</t>
  </si>
  <si>
    <t>PnHC35_QproMatt</t>
  </si>
  <si>
    <t>PnH60_QproMatt</t>
  </si>
  <si>
    <t>PnH75_QproMatt</t>
  </si>
  <si>
    <t>ShtripsFalz_QproMatt</t>
  </si>
  <si>
    <t>List_QproMatt</t>
  </si>
  <si>
    <t>S_KDoska_QproMatt</t>
  </si>
  <si>
    <t>S_Vertikal_QproMatt</t>
  </si>
  <si>
    <t>S_EBrus_QproMatt</t>
  </si>
  <si>
    <t>S_BHaus_QproMatt</t>
  </si>
  <si>
    <t>S_BHausNew_QproMatt</t>
  </si>
  <si>
    <t>S_Shtukaturka_QproMatt</t>
  </si>
  <si>
    <t>Shtaket_MP_QproMatt</t>
  </si>
  <si>
    <t>Shtaket_MPf_QproMatt</t>
  </si>
  <si>
    <t>Shtaket_Kr_QproMatt</t>
  </si>
  <si>
    <t>Shtaket_Pr_QproMatt</t>
  </si>
  <si>
    <t>Shtaket_Krf_QproMatt</t>
  </si>
  <si>
    <t>Shtaket_Prf_QproMatt</t>
  </si>
  <si>
    <t>KvintaPl_PeMatt04</t>
  </si>
  <si>
    <t>KvintaUno_PeMatt04</t>
  </si>
  <si>
    <t>Kamea_PeMatt04</t>
  </si>
  <si>
    <t>Kredo_PeMatt04</t>
  </si>
  <si>
    <t>Classic_PeMatt04</t>
  </si>
  <si>
    <t>Modern_PeMatt04</t>
  </si>
  <si>
    <t>Sofit_PeMatt04</t>
  </si>
  <si>
    <t>Falz2_PeMatt04</t>
  </si>
  <si>
    <t>Klik_PeMatt04</t>
  </si>
  <si>
    <t>Klik_mini_PeMatt04</t>
  </si>
  <si>
    <t>PnC8_PeMatt04</t>
  </si>
  <si>
    <t>PnC8f_PeMatt04</t>
  </si>
  <si>
    <t>PnC10_PeMatt04</t>
  </si>
  <si>
    <t>PnC10f_PeMatt04</t>
  </si>
  <si>
    <t>PnC20_PeMatt04</t>
  </si>
  <si>
    <t>PnC21_PeMatt04</t>
  </si>
  <si>
    <t>PnHC35_PeMatt04</t>
  </si>
  <si>
    <t>PnH60_PeMatt04</t>
  </si>
  <si>
    <t>PnH75_PeMatt04</t>
  </si>
  <si>
    <t>ShtripsFalz_PeMatt04</t>
  </si>
  <si>
    <t>List_PeMatt04</t>
  </si>
  <si>
    <t>S_KDoska_PeMatt04</t>
  </si>
  <si>
    <t>S_Vertikal_PeMatt04</t>
  </si>
  <si>
    <t>S_EBrus_PeMatt04</t>
  </si>
  <si>
    <t>S_BHaus_PeMatt04</t>
  </si>
  <si>
    <t>S_BHausNew_PeMatt04</t>
  </si>
  <si>
    <t>S_Shtukaturka_PeMatt04</t>
  </si>
  <si>
    <t>Shtaket_MP_PeMatt04</t>
  </si>
  <si>
    <t>Shtaket_MPf_PeMatt04</t>
  </si>
  <si>
    <t>Shtaket_Kr_PeMatt04</t>
  </si>
  <si>
    <t>Shtaket_Pr_PeMatt04</t>
  </si>
  <si>
    <t>Shtaket_Krf_PeMatt04</t>
  </si>
  <si>
    <t>Shtaket_Prf_PeMatt04</t>
  </si>
  <si>
    <t>Quarzit Pro Matt</t>
  </si>
  <si>
    <t>GreenCoat Pural</t>
  </si>
  <si>
    <t>GreenCoat Pural Matt</t>
  </si>
  <si>
    <t>KvintaPl_PurMatt</t>
  </si>
  <si>
    <t>KvintaUno_PurMatt</t>
  </si>
  <si>
    <t>Kamea_PurMatt</t>
  </si>
  <si>
    <t>Kredo_PurMatt</t>
  </si>
  <si>
    <t>Classic_PurMatt</t>
  </si>
  <si>
    <t>Modern_PurMatt</t>
  </si>
  <si>
    <t>Sofit_PurMatt</t>
  </si>
  <si>
    <t>Falz2_PurMatt</t>
  </si>
  <si>
    <t>Klik_PurMatt</t>
  </si>
  <si>
    <t>Klik_mini_PurMatt</t>
  </si>
  <si>
    <t>PnC8_PurMatt</t>
  </si>
  <si>
    <t>PnC10_PurMatt</t>
  </si>
  <si>
    <t>PnC10f_PurMatt</t>
  </si>
  <si>
    <t>PnC20_PurMatt</t>
  </si>
  <si>
    <t>PnC21_PurMatt</t>
  </si>
  <si>
    <t>PnHC35_PurMatt</t>
  </si>
  <si>
    <t>PnH60_PurMatt</t>
  </si>
  <si>
    <t>PnH75_PurMatt</t>
  </si>
  <si>
    <t>ShtripsFalz_PurMatt</t>
  </si>
  <si>
    <t>List_PurMatt</t>
  </si>
  <si>
    <t>S_KDoska_PurMatt</t>
  </si>
  <si>
    <t>S_Vertikal_PurMatt</t>
  </si>
  <si>
    <t>S_EBrus_PurMatt</t>
  </si>
  <si>
    <t>S_BHaus_PurMatt</t>
  </si>
  <si>
    <t>S_BHausNew_PurMatt</t>
  </si>
  <si>
    <t>S_Shtukaturka_PurMatt</t>
  </si>
  <si>
    <t>Shtaket_MP_PurMatt</t>
  </si>
  <si>
    <t>Shtaket_MPf_PurMatt</t>
  </si>
  <si>
    <t>Shtaket_Kr_PurMatt</t>
  </si>
  <si>
    <t>Shtaket_Pr_PurMatt</t>
  </si>
  <si>
    <t>Shtaket_Krf_PurMatt</t>
  </si>
  <si>
    <t>Shtaket_Prf_PurMatt</t>
  </si>
  <si>
    <t>PURAL МАTТ</t>
  </si>
  <si>
    <t>PURAL</t>
  </si>
  <si>
    <t>0,4 matt</t>
  </si>
  <si>
    <t>Размеры изделия, см</t>
  </si>
  <si>
    <t>60 x 15</t>
  </si>
  <si>
    <t>20 x 20</t>
  </si>
  <si>
    <t>60 x 30</t>
  </si>
  <si>
    <t>20 x 15</t>
  </si>
  <si>
    <t>PE MATT</t>
  </si>
  <si>
    <t>Стальной Бархат (1)</t>
  </si>
  <si>
    <t>Drap (1)</t>
  </si>
  <si>
    <t>Здесь в КРР Фасадная панель</t>
  </si>
  <si>
    <t>Информационная табличка
 - "Объект под охраной"
 - "Осторожно злая собака"
 - "Не входить"</t>
  </si>
  <si>
    <t>Информационная табличка
 - "Ведется видеонаблюдение"
 - "Курение запрещено"
 - "Мусорить запрещено"</t>
  </si>
  <si>
    <t>15 х 20</t>
  </si>
  <si>
    <t>Заглушки для профильной трубы</t>
  </si>
  <si>
    <t>Элементы панельных ограждений</t>
  </si>
  <si>
    <t>Вся продукция изготавливается из металла по ГОСТ 52246-2016 и ГОСТ 34180-2018</t>
  </si>
  <si>
    <t>8. УПАКОВКА</t>
  </si>
  <si>
    <t xml:space="preserve">5.1. Профнастил для ограждений и перекрытий, металлический штакетник Grand Line </t>
  </si>
  <si>
    <t xml:space="preserve">                          7.3. Адресные таблички</t>
  </si>
  <si>
    <t xml:space="preserve">7.3 Флюгеры «Duck and Dog®» </t>
  </si>
  <si>
    <t>Print РФ</t>
  </si>
  <si>
    <t>Classic_PtRF</t>
  </si>
  <si>
    <t>Sofit_PtRF</t>
  </si>
  <si>
    <t>PnC8_PtRF</t>
  </si>
  <si>
    <t>PnC10_PtRF</t>
  </si>
  <si>
    <t>PnC10f_PtRF</t>
  </si>
  <si>
    <t>PnC20_PtRF</t>
  </si>
  <si>
    <t>PnC21_PtRF</t>
  </si>
  <si>
    <t>PnHC35_PtRF</t>
  </si>
  <si>
    <t>PnH60_PtRF</t>
  </si>
  <si>
    <t>ShtripsFalz_PtRF</t>
  </si>
  <si>
    <t>List_PtRF</t>
  </si>
  <si>
    <t>S_KDoska_PtRF</t>
  </si>
  <si>
    <t>S_Vertikal_PtRF</t>
  </si>
  <si>
    <t>S_EBrus_PtRF</t>
  </si>
  <si>
    <t>S_BHausNew_PtRF</t>
  </si>
  <si>
    <t>Shtaket_MP_PtRF</t>
  </si>
  <si>
    <t>Shtaket_MPf_PtRF</t>
  </si>
  <si>
    <t>Цинк
0,45-0,55</t>
  </si>
  <si>
    <t>Цинк 0,4-0,55</t>
  </si>
  <si>
    <t>Colority  Print</t>
  </si>
  <si>
    <t>Colority  Print dp</t>
  </si>
  <si>
    <t>толщина 0,45-0,5 - 100, 0,55-0,6 - 80, 0,7 - 58, 0,8 - 45, 0,9 - 42</t>
  </si>
  <si>
    <t>поддон из четырех досок 40*100мм и брусков 50*60, стянутых между собой саморезами 4,2*20 (вкручены с косиной)</t>
  </si>
  <si>
    <t>Упаковка ПЛ (поддон возвратный)_old**</t>
  </si>
  <si>
    <t>** используется только при отгрузке со склада Краснодар</t>
  </si>
  <si>
    <t xml:space="preserve">PE Дачный пр-во </t>
  </si>
  <si>
    <t xml:space="preserve">5 NEW Lock </t>
  </si>
  <si>
    <t>6 NEW Lock</t>
  </si>
  <si>
    <t>Панель  860*1600 (1970) мм - 3 шт.
Направляющая  60*20*2500 мм  - 3 шт.
Декор. полотно 360*2500 мм - 1 шт.
Стойка 84*48*2500 (3000) мм  - 2 шт.
Столб 90*55*3000 - 1 шт (обязат. для ограждения 2,4 м)
Крышка универсальная - 1 шт. / Крышка - 2 шт.
Саморезы 5,5*19</t>
  </si>
  <si>
    <t xml:space="preserve">90*55*3000   </t>
  </si>
  <si>
    <t>цинк - поставляется под заказ</t>
  </si>
  <si>
    <t>АКЦИИ НА МЕТАЛЛИЧЕСКИЕ ПОКРЫТИЯ</t>
  </si>
  <si>
    <t>PnC8f_Ptdp</t>
  </si>
  <si>
    <t>PnC8f_QproMatt</t>
  </si>
  <si>
    <t>PnC8f_Q</t>
  </si>
  <si>
    <t>PnC8f_Pur</t>
  </si>
  <si>
    <t>PnC8f_PurMatt</t>
  </si>
  <si>
    <t>PnC8f_StBarhat</t>
  </si>
  <si>
    <t>PnC8f_Pe04</t>
  </si>
  <si>
    <t>PnC8f_Zn05</t>
  </si>
  <si>
    <t>PnC8f_PtRF</t>
  </si>
  <si>
    <t>Профнастил С10 Фигурный (1)</t>
  </si>
  <si>
    <t>0,5/2</t>
  </si>
  <si>
    <t>Нанесение защитной пленки</t>
  </si>
  <si>
    <t>плетеная пленка*, оргалит, стяжка лентой через брус</t>
  </si>
  <si>
    <t>Упаковка софита (поддон) mini</t>
  </si>
  <si>
    <t>Обн.: 1040/990</t>
  </si>
  <si>
    <t>Обн.: 915/855</t>
  </si>
  <si>
    <t>Сокращения: Обн. - производство Обнинск (Верховье); СПБ - производство Санкт-Петербург (Гатчина); НН - производство Нижний Новгород (Дружный); Врн - производство Воронеж (Масловская промзона)</t>
  </si>
  <si>
    <t>Цвет обратной стороны покрытия Safari Grey не совпадает с цветом лицевой стороны, светлый серый (примерно RAL 7005)</t>
  </si>
  <si>
    <t xml:space="preserve">Профнастил С8 Фигурный (1) </t>
  </si>
  <si>
    <t>(3) штрипс длиной менее 4 м изготавливается только в пленке. Максимальная длина отмотки в покрытиях Design и Premium 50м.</t>
  </si>
  <si>
    <t>Плоский лист - Штрипс (3) - Отмотка (3)</t>
  </si>
  <si>
    <t>Colority Print dp (4)</t>
  </si>
  <si>
    <t>Colority  Print (4)</t>
  </si>
  <si>
    <t>Внимание! В Общем розничном прайсе представлены только складские позиции ограждений.
Полный перечень производимых ограждений под заказ, а также наценки на нестандартные размеры ограждений смотрите в спец.прайсе "Ограждения_полный" на сайте в разделе "Цены"</t>
  </si>
  <si>
    <t>Табличка адресная прямоугольная с логотипом</t>
  </si>
  <si>
    <t>Табличкиа номер дома</t>
  </si>
  <si>
    <r>
      <t xml:space="preserve">Табличка адресная прямоугольная под заказ (с информацей заказчика на поле внизу) </t>
    </r>
    <r>
      <rPr>
        <b/>
        <sz val="10"/>
        <color indexed="10"/>
        <rFont val="Arial Cyr"/>
        <charset val="204"/>
      </rPr>
      <t>NEW</t>
    </r>
  </si>
  <si>
    <t>Табличка адресная прямоугольная</t>
  </si>
  <si>
    <t>Табличка адресная фигурная</t>
  </si>
  <si>
    <t>Таблички изготовливаются из алюминиевого композита с UV-печатью.
Стандартные цвета: RAL 3005 (красный), RAL 5005 (синий), RAL 6005 (зеленый), RAL 8017 (коричневый)</t>
  </si>
  <si>
    <t>Таблички</t>
  </si>
  <si>
    <t>Colority  Print (1)</t>
  </si>
  <si>
    <t>Safari (1)</t>
  </si>
  <si>
    <t>в Розничном отделе</t>
  </si>
  <si>
    <t>в Дилерском отделе</t>
  </si>
  <si>
    <t>Print РФ (1)</t>
  </si>
  <si>
    <t>Все регионы</t>
  </si>
  <si>
    <t>Brown</t>
  </si>
  <si>
    <r>
      <t xml:space="preserve">Винтовая опора на фланце
</t>
    </r>
    <r>
      <rPr>
        <sz val="10"/>
        <rFont val="Arial Cyr"/>
        <charset val="204"/>
      </rPr>
      <t>76 (d опоры)х210 (d фланца)х2,5 (толщина стали) мм, только для столбов стреугольным фланцем</t>
    </r>
  </si>
  <si>
    <t>Упаковка СБ Экстра XL</t>
  </si>
  <si>
    <t>Упаковка МЧ (с/б - Экстра XL)</t>
  </si>
  <si>
    <t>Упаковка СБ Максимум</t>
  </si>
  <si>
    <t>Упаковка СБ Максимум XL</t>
  </si>
  <si>
    <t>С8 - 200, С10, С20 - 100, образцы ПН-100</t>
  </si>
  <si>
    <t>Упаковка ПН (сб/1100 Максимум)_НН</t>
  </si>
  <si>
    <t>Упаковка ПН (поддон/1210 Максимум)_НН</t>
  </si>
  <si>
    <t>поддон, плетеная пленка*, оргалит, стяжка лентой</t>
  </si>
  <si>
    <t>Упаковка ПН (поддон/1100 Максимум)_НН</t>
  </si>
  <si>
    <t>Упаковка нестандартная Краснодар</t>
  </si>
  <si>
    <t>cкотч канцелярский, воздушно-пупырчатая пленка</t>
  </si>
  <si>
    <t>С8А, С8В, С20А, С20В, С20R, С21А, С21R</t>
  </si>
  <si>
    <t>Обнинск, Нижний Новгород, Воронеж, Киров</t>
  </si>
  <si>
    <t>Калитка Profi/Bastion</t>
  </si>
  <si>
    <t>3,5 Lock</t>
  </si>
  <si>
    <t>4 NEW Lock</t>
  </si>
  <si>
    <t>Профиль рамки</t>
  </si>
  <si>
    <t>Засов для калиток и ворот Profi*</t>
  </si>
  <si>
    <t>* - Засов подходит для калиток и ворот серий Profi и Эконом.</t>
  </si>
  <si>
    <r>
      <t xml:space="preserve">Ригель для ворот
Medium </t>
    </r>
    <r>
      <rPr>
        <b/>
        <sz val="10"/>
        <color indexed="10"/>
        <rFont val="Arial Cyr"/>
        <charset val="204"/>
      </rPr>
      <t>NEW</t>
    </r>
    <r>
      <rPr>
        <b/>
        <sz val="10"/>
        <rFont val="Arial Cyr"/>
        <charset val="204"/>
      </rPr>
      <t xml:space="preserve"> (60x40), Эконом</t>
    </r>
  </si>
  <si>
    <r>
      <t>Ворота:</t>
    </r>
    <r>
      <rPr>
        <sz val="10"/>
        <rFont val="Arial Cyr"/>
        <charset val="204"/>
      </rPr>
      <t xml:space="preserve"> 2 створки, 2 опорных столба, петли для 3,5-4,0 м - Locinox GAM12 ( угол откр. 130 град) петли для 4,5-6,0 м - Locinox GBMU4D12 (угол откр. 180 град), замок Locinox LTKZ, ригель, ответная планка
</t>
    </r>
    <r>
      <rPr>
        <b/>
        <sz val="10"/>
        <rFont val="Arial Cyr"/>
        <charset val="204"/>
      </rPr>
      <t>Калитка:</t>
    </r>
    <r>
      <rPr>
        <sz val="10"/>
        <rFont val="Arial Cyr"/>
        <charset val="204"/>
      </rPr>
      <t xml:space="preserve"> 1 створка, 2 опорных столба, петли Locinox GAM12, угол открывания 130 град, замок Locinox LTKZ, ответная планка</t>
    </r>
  </si>
  <si>
    <t>Satin Matt</t>
  </si>
  <si>
    <t>KvintaPl_SatMatt</t>
  </si>
  <si>
    <t>KvintaUno_SatMatt</t>
  </si>
  <si>
    <t>Kamea_SatMatt</t>
  </si>
  <si>
    <t>Kredo_SatMatt</t>
  </si>
  <si>
    <t>Classic_SatMatt</t>
  </si>
  <si>
    <t>Modern_SatMatt</t>
  </si>
  <si>
    <t>Sofit_SatMatt</t>
  </si>
  <si>
    <t>Falz2_SatMatt</t>
  </si>
  <si>
    <t>Klik_SatMatt</t>
  </si>
  <si>
    <t>Klik_mini_SatMatt</t>
  </si>
  <si>
    <t>PnC8_SatMatt</t>
  </si>
  <si>
    <t>PnC8f_SatMatt</t>
  </si>
  <si>
    <t>PnC10_SatMatt</t>
  </si>
  <si>
    <t>PnC10f_SatMatt</t>
  </si>
  <si>
    <t>PnC20_SatMatt</t>
  </si>
  <si>
    <t>PnC21_SatMatt</t>
  </si>
  <si>
    <t>PnHC35_SatMatt</t>
  </si>
  <si>
    <t>PnH60_SatMatt</t>
  </si>
  <si>
    <t>PnH75_SatMatt</t>
  </si>
  <si>
    <t>ShtripsFalz_SatMatt</t>
  </si>
  <si>
    <t>List_SatMatt</t>
  </si>
  <si>
    <t>S_KDoska_SatMatt</t>
  </si>
  <si>
    <t>S_Vertikal_SatMatt</t>
  </si>
  <si>
    <t>S_EBrus_SatMatt</t>
  </si>
  <si>
    <t>S_BHaus_SatMatt</t>
  </si>
  <si>
    <t>S_BHausNew_SatMatt</t>
  </si>
  <si>
    <t>S_Shtukaturka_SatMatt</t>
  </si>
  <si>
    <t>Shtaket_MP_SatMatt</t>
  </si>
  <si>
    <t>Shtaket_MPf_SatMatt</t>
  </si>
  <si>
    <t>Shtaket_Kr_SatMatt</t>
  </si>
  <si>
    <t>Shtaket_Pr_SatMatt</t>
  </si>
  <si>
    <t>Shtaket_Krf_SatMatt</t>
  </si>
  <si>
    <t>Shtaket_Prf_SatMatt</t>
  </si>
  <si>
    <t>* - стандартные цвета по RAL: 3005, 6005, 7024, 8017, RR32</t>
  </si>
  <si>
    <r>
      <t xml:space="preserve">Satin Matt
</t>
    </r>
    <r>
      <rPr>
        <b/>
        <sz val="10"/>
        <color indexed="10"/>
        <rFont val="Arial Cyr"/>
        <charset val="204"/>
      </rPr>
      <t>NEW</t>
    </r>
  </si>
  <si>
    <t>Упаковка ПН (сб/1100 Максимум)</t>
  </si>
  <si>
    <t>брусы с проточкой, оргалит, стяжка лентой через обрезную  доску</t>
  </si>
  <si>
    <t>C21A, C21R</t>
  </si>
  <si>
    <t>Упаковка ПН (поддон/1210 Максимум)</t>
  </si>
  <si>
    <t>поддон, оргалит, стяжка лентой через обрезную  доску</t>
  </si>
  <si>
    <t>C8A, С10, C20</t>
  </si>
  <si>
    <t>Упаковка ПН (поддон/1100 Максимум)</t>
  </si>
  <si>
    <t>Упаковка МЧ (с/б- Максимум)</t>
  </si>
  <si>
    <t>Упаковка МЧ (с/б - Максимум, XL)</t>
  </si>
  <si>
    <t>Упаковка ПН (сб/1210 Максимум)</t>
  </si>
  <si>
    <t>плетеная пленка*</t>
  </si>
  <si>
    <t>Ограждения-жалюзи</t>
  </si>
  <si>
    <t>Крышка 65х40</t>
  </si>
  <si>
    <t>Стойка 60х40</t>
  </si>
  <si>
    <t>Декоративная накладка</t>
  </si>
  <si>
    <t>Ламель</t>
  </si>
  <si>
    <t>Крепежная планка</t>
  </si>
  <si>
    <t>Декоративная накладка угловая</t>
  </si>
  <si>
    <t>Высота секции забора, м</t>
  </si>
  <si>
    <t>Количество углов</t>
  </si>
  <si>
    <t>Столбы</t>
  </si>
  <si>
    <t>Крышки</t>
  </si>
  <si>
    <t>Стойки</t>
  </si>
  <si>
    <t>Кол-во секций, шт</t>
  </si>
  <si>
    <t>Декоративные накладки</t>
  </si>
  <si>
    <t>Крепежные планки</t>
  </si>
  <si>
    <t>Ламели</t>
  </si>
  <si>
    <t>Расстояние между столбами, м</t>
  </si>
  <si>
    <t>Возможная высота</t>
  </si>
  <si>
    <t>Необходимое количество элементов</t>
  </si>
  <si>
    <t>Внимание! Продажа панельных ограждений на сумму свыше 100 тысяч рублей ведется кратно комплекту (комплект состоит из панелей + 2 столбов на каждую панель + крепления * количество столбов * количество гибов на панелях). Отдельно панели, крепления, столбы, винтовые опоры и т.д. не продаются.</t>
  </si>
  <si>
    <t>Доборные элементы для продукции в PE 0,4-0,45 изготавливаются по цене доборных элементов в покрытии Satin</t>
  </si>
  <si>
    <t>Металлический штакетник Круглый и Прямоугольный изготавливаются от 10 шт одного вида и покрытия с шагом 1см в PE 0,4 (RAL 3005, RAL 6005, RAL 8017), PE 0,45 (RR32, RAL 8017, 6005, 5005,3005), PE dp 0,45 (RAL8017, 6005, 3005), Print dp 0,45 (Antique Wood, Golden Wood), Velur (RR32, RAL 8017, 7024). Возможно изготовление Круглого и Прямоугольного штакетниках в других цветах и покрытиях при заказе от 1000 м.п. в размер с шагом 1 см</t>
  </si>
  <si>
    <t>Декоративное полотно на складе в цветах RAL1013, RAL1014, RAL8017; изготавливается под заказ в 2-х цветах: RAL3005, RAL6005</t>
  </si>
  <si>
    <t>Упаковка ПЛ (рулон)***</t>
  </si>
  <si>
    <t>*** упаковка ПЛ (рулон) не защищает изделие от повреждений. Подробности - уточняйте у менеджеров.</t>
  </si>
  <si>
    <t xml:space="preserve">
</t>
  </si>
  <si>
    <t>Кликфальц Pro/Line/Gofr</t>
  </si>
  <si>
    <t>KlikPro_Ptdp</t>
  </si>
  <si>
    <t>KlikPro_Pt</t>
  </si>
  <si>
    <t>KlikPro_Sf</t>
  </si>
  <si>
    <t>KlikPro_QproMatt</t>
  </si>
  <si>
    <t>KlikPro_Q</t>
  </si>
  <si>
    <t>KlikPro_Ql</t>
  </si>
  <si>
    <t>KlikPro_Vel</t>
  </si>
  <si>
    <t>KlikPro_Atl</t>
  </si>
  <si>
    <t>KlikPro_PurMatt</t>
  </si>
  <si>
    <t>KlikPro_Pur</t>
  </si>
  <si>
    <t>KlikPro_StBarhat</t>
  </si>
  <si>
    <t>KlikPro_SatMatt</t>
  </si>
  <si>
    <t>KlikPro_Dr</t>
  </si>
  <si>
    <t>KlikPro_Sat</t>
  </si>
  <si>
    <t>KlikPro_PEdp</t>
  </si>
  <si>
    <t>KlikPro_Pe08</t>
  </si>
  <si>
    <t>KlikPro_Pe07</t>
  </si>
  <si>
    <t>KlikPro_Pe045</t>
  </si>
  <si>
    <t>KlikPro_Pe04</t>
  </si>
  <si>
    <t>KlikPro_PeMatt04</t>
  </si>
  <si>
    <t>KlikPro_Zn035</t>
  </si>
  <si>
    <t>KlikPro_Zn04</t>
  </si>
  <si>
    <t>KlikPro_Zn045</t>
  </si>
  <si>
    <t>KlikPro_Zn05</t>
  </si>
  <si>
    <t>KlikPro_Zn055</t>
  </si>
  <si>
    <t>KlikPro_Zn07</t>
  </si>
  <si>
    <t>KlikPro_Zn08</t>
  </si>
  <si>
    <t>KlikPro_Zn09</t>
  </si>
  <si>
    <t>KlikPro_PtRF</t>
  </si>
  <si>
    <t>GreenCoat Pural Matt BT</t>
  </si>
  <si>
    <t>GreenCoat Pural BT</t>
  </si>
  <si>
    <t>Фото продукции</t>
  </si>
  <si>
    <t>40х20</t>
  </si>
  <si>
    <t>40х25</t>
  </si>
  <si>
    <t>80х80</t>
  </si>
  <si>
    <t>96 / 120</t>
  </si>
  <si>
    <r>
      <t xml:space="preserve">Quarzit Pro Matt </t>
    </r>
    <r>
      <rPr>
        <b/>
        <sz val="10"/>
        <color indexed="10"/>
        <rFont val="Arial Cyr"/>
        <charset val="204"/>
      </rPr>
      <t>NEW</t>
    </r>
  </si>
  <si>
    <t>Двусторонние покрытия и покрытия с технологией TwinColor</t>
  </si>
  <si>
    <t>Односторонние покрытия</t>
  </si>
  <si>
    <t>PE
0,8</t>
  </si>
  <si>
    <t>PE
0,7</t>
  </si>
  <si>
    <t>PE
0,45</t>
  </si>
  <si>
    <t>Рекомендуется выбирать двусторонние покрытия и покрытия с технологией TwinColor.</t>
  </si>
  <si>
    <t>GreenCoat 
Pural Matt BT</t>
  </si>
  <si>
    <t>Лампа светодиодная постоянного тока ELDC</t>
  </si>
  <si>
    <t>Пульт ду с динамическим кодом Flo2R-S (1 шт)</t>
  </si>
  <si>
    <t>Фотоэлементы Slim EPS 
(комплект из 2х шт для ворот 3,5 - 5,5 метра)</t>
  </si>
  <si>
    <t>Фотоэлементы Slim BlueBus EPSB 
(комплект из 2х шт для ворот 6,0-9,0 метра)</t>
  </si>
  <si>
    <t>Переключатель замковый EKS</t>
  </si>
  <si>
    <t xml:space="preserve">5.2. Доборные элементы ограждений Grand Line </t>
  </si>
  <si>
    <t>Доборные элементы и парапетные крышки</t>
  </si>
  <si>
    <t>5.1.  Заборы-Жалюзи</t>
  </si>
  <si>
    <t>Шаблон (для монтажа), 1 шт.</t>
  </si>
  <si>
    <t>Калькулятор расчета элементов заборов-жалюзи</t>
  </si>
  <si>
    <t>Данные для расчетов</t>
  </si>
  <si>
    <t>Количество</t>
  </si>
  <si>
    <t>Для расчета количества элементов укажите/выберите нужные параметры в зеленых полях</t>
  </si>
  <si>
    <t xml:space="preserve">Саморезы </t>
  </si>
  <si>
    <t>5,5х19</t>
  </si>
  <si>
    <t>Длина ламели, м (возможная длина от 0,5 до 3 м, с шагом 1 см), м</t>
  </si>
  <si>
    <t>Саморезы ПШ</t>
  </si>
  <si>
    <t>4,2x16</t>
  </si>
  <si>
    <t>Шаблон (для монтажа), шт</t>
  </si>
  <si>
    <r>
      <rPr>
        <b/>
        <sz val="10"/>
        <rFont val="Arial Cyr"/>
        <charset val="204"/>
      </rPr>
      <t>Примечание</t>
    </r>
    <r>
      <rPr>
        <sz val="10"/>
        <rFont val="Arial Cyr"/>
        <charset val="204"/>
      </rPr>
      <t>: Столбы и саморезы для заборов-жалюзи приобретаются отдельно</t>
    </r>
  </si>
  <si>
    <t>5.4. Элементы панельных ограждений Grand Line® и Optima</t>
  </si>
  <si>
    <t>5.5. Модульные ограждения</t>
  </si>
  <si>
    <t>5.7. Откатные ворота</t>
  </si>
  <si>
    <t xml:space="preserve">                                                                             5.8. Распашные ворота и калитки Grand Line®</t>
  </si>
  <si>
    <t xml:space="preserve">                                                                    5.9. Элементы ограждений Locinox</t>
  </si>
  <si>
    <r>
      <t xml:space="preserve">Крепление 2 скобы Bastion - винт М6х30
</t>
    </r>
    <r>
      <rPr>
        <sz val="10"/>
        <rFont val="Arial Cyr"/>
        <charset val="204"/>
      </rPr>
      <t>(укомплектован шайбой и антивандальной гайкой М6)</t>
    </r>
  </si>
  <si>
    <t>(4) На изделиях в покрытии Colority Print на больших поверхностях возможна видимая повторяемость рисунка. Внимание! При монтаже металлического сайдинга в цветах Fine Stone и Sand Stone (покрытия Colority Print) для минимизации возможного появления видимой повторяемости рисунка и разнооттеночности рекомендуем использовать панели одинаковой длины из разных упаковок. Подробности уточняйте в офисе продаж.</t>
  </si>
  <si>
    <t xml:space="preserve"> Zn 60-100</t>
  </si>
  <si>
    <t>14
Верховье - 6, Ильский - 15</t>
  </si>
  <si>
    <t>60*40*1,4
(втулки М6) **</t>
  </si>
  <si>
    <t xml:space="preserve">** - для столбов 60*40*1,4мм с отверстиями М6 подходят только крепления Cкоба Medium винт М6х30 </t>
  </si>
  <si>
    <t>50 м</t>
  </si>
  <si>
    <t>4 м</t>
  </si>
  <si>
    <t>3500 кг</t>
  </si>
  <si>
    <t>19 м</t>
  </si>
  <si>
    <t>Полный ассортимент продукции «Duck and Dog®» уточняйте у менеджера.</t>
  </si>
  <si>
    <t>цены действительны с:</t>
  </si>
  <si>
    <r>
      <t xml:space="preserve">Фиксатор проволоки в наконечнике
</t>
    </r>
    <r>
      <rPr>
        <sz val="10"/>
        <rFont val="Arial Cyr"/>
        <charset val="204"/>
      </rPr>
      <t>(скоба + болт М6*40 + гайка М6)</t>
    </r>
  </si>
  <si>
    <t>Гайка антивандальная М6</t>
  </si>
  <si>
    <r>
      <t xml:space="preserve">Винтовая опора на фланце
</t>
    </r>
    <r>
      <rPr>
        <sz val="10"/>
        <rFont val="Arial Cyr"/>
        <charset val="204"/>
      </rPr>
      <t>76 (d опоры)х210 (d фланца)х3,0 (толщина стали) мм, только для столбов с треугольным фланцем</t>
    </r>
  </si>
  <si>
    <t>PE Matt 
0,4</t>
  </si>
  <si>
    <t>PurLite Matt</t>
  </si>
  <si>
    <t>KvintaPl_PurLiteMatt</t>
  </si>
  <si>
    <t>KvintaUno_PurLiteMatt</t>
  </si>
  <si>
    <t>Kamea_PurLiteMatt</t>
  </si>
  <si>
    <t>Kredo_PurLiteMatt</t>
  </si>
  <si>
    <t>Classic_PurLiteMatt</t>
  </si>
  <si>
    <t>Modern_PurLiteMatt</t>
  </si>
  <si>
    <t>Sofit_PurLiteMatt</t>
  </si>
  <si>
    <t>Falz2_PurLiteMatt</t>
  </si>
  <si>
    <t>KlikPro_PurLiteMatt</t>
  </si>
  <si>
    <t>Klik_PurLiteMatt</t>
  </si>
  <si>
    <t>Klik_mini_PurLiteMatt</t>
  </si>
  <si>
    <t>PnC8_PurLiteMatt</t>
  </si>
  <si>
    <t>PnC8f_PurLiteMatt</t>
  </si>
  <si>
    <t>PnC10_PurLiteMatt</t>
  </si>
  <si>
    <t>PnC10f_PurLiteMatt</t>
  </si>
  <si>
    <t>PnC20_PurLiteMatt</t>
  </si>
  <si>
    <t>PnC21_PurLiteMatt</t>
  </si>
  <si>
    <t>PnHC35_PurLiteMatt</t>
  </si>
  <si>
    <t>PnH60_PurLiteMatt</t>
  </si>
  <si>
    <t>PnH75_PurLiteMatt</t>
  </si>
  <si>
    <t>ShtripsFalz_PurLiteMatt</t>
  </si>
  <si>
    <t>List_PurLiteMatt</t>
  </si>
  <si>
    <t>S_KDoska_PurLiteMatt</t>
  </si>
  <si>
    <t>S_Vertikal_PurLiteMatt</t>
  </si>
  <si>
    <t>S_EBrus_PurLiteMatt</t>
  </si>
  <si>
    <t>S_BHaus_PurLiteMatt</t>
  </si>
  <si>
    <t>S_BHausNew_PurLiteMatt</t>
  </si>
  <si>
    <t>S_Shtukaturka_PurLiteMatt</t>
  </si>
  <si>
    <t>Shtaket_MP_PurLiteMatt</t>
  </si>
  <si>
    <t>Shtaket_MPf_PurLiteMatt</t>
  </si>
  <si>
    <t>Shtaket_Kr_PurLiteMatt</t>
  </si>
  <si>
    <t>Shtaket_Pr_PurLiteMatt</t>
  </si>
  <si>
    <t>Shtaket_Krf_PurLiteMatt</t>
  </si>
  <si>
    <t>Shtaket_Prf_PurLiteMatt</t>
  </si>
  <si>
    <t xml:space="preserve">Упаковка штрипса (Макси) </t>
  </si>
  <si>
    <t>доска торцованная, стяжка лентой</t>
  </si>
  <si>
    <t xml:space="preserve">                                                                         5.3. Панельные ограждения Grand Line® и Optima</t>
  </si>
  <si>
    <t>Высота/ Ширина, м.</t>
  </si>
  <si>
    <t>Кол-во ребер, шт.</t>
  </si>
  <si>
    <t>Вес панели, кг</t>
  </si>
  <si>
    <t>Цена
за 1 панель, руб/шт.</t>
  </si>
  <si>
    <r>
      <t>Цена за 1 п.м. комплекта прямого не замкнутого участка (столб 62*55 (для LIGHT столб 51 мм) под бетон+панель+крепеж скоба/2,5), руб.</t>
    </r>
    <r>
      <rPr>
        <b/>
        <sz val="10"/>
        <color indexed="10"/>
        <rFont val="Arial Cyr"/>
        <charset val="204"/>
      </rPr>
      <t>Внимание! Расчет теоретический.</t>
    </r>
    <r>
      <rPr>
        <b/>
        <sz val="10"/>
        <rFont val="Arial Cyr"/>
        <charset val="204"/>
      </rPr>
      <t xml:space="preserve"> Продажа ведется по ЭЛЕМЕНТАМ и расчет по конкретному участку будет отличаться!</t>
    </r>
  </si>
  <si>
    <t>Цена, п.м./руб.</t>
  </si>
  <si>
    <t>Панельные ограждения Optima</t>
  </si>
  <si>
    <t>Панель LIGHT
ЦИНК 
ячейка основная 200*55 мм  
диаметр прутка 3,3 мм</t>
  </si>
  <si>
    <t>1,53*2,5</t>
  </si>
  <si>
    <t>1,73*2,5</t>
  </si>
  <si>
    <t>2,03*2,5</t>
  </si>
  <si>
    <t>Панель LIGHT
С ПОЛИМЕРНЫМ ПОКРЫТИЕМ 
ячейка основная 200*55 мм  
диаметр прутка 3,5 мм</t>
  </si>
  <si>
    <t>Панельные ограждения Grand Line®</t>
  </si>
  <si>
    <t>Панель MEDIUM 
ЦИНК
ячейка основная 200х55 мм
диаметр прутка  3,8 мм</t>
  </si>
  <si>
    <t>1,03*2,5</t>
  </si>
  <si>
    <t>2,43*2,5</t>
  </si>
  <si>
    <t>Панель MEDIUM
С ПОЛИМЕРНЫМ ПОКРЫТИЕМ
ячейка основная  200х55 мм
диаметр прутка  4 мм</t>
  </si>
  <si>
    <t xml:space="preserve">0,63*2,5 </t>
  </si>
  <si>
    <t xml:space="preserve">1,03*2,5 </t>
  </si>
  <si>
    <t>1,73*3,0</t>
  </si>
  <si>
    <t>зеленый RAL 6005   
серый RAL 7040
коричневый RAL 8017</t>
  </si>
  <si>
    <t>2,03*3,0</t>
  </si>
  <si>
    <t>Панель PROFI
ЦИНК
ячейка основная 200х55 мм
диаметр прутка  4,8 мм</t>
  </si>
  <si>
    <t>0,63*2,5</t>
  </si>
  <si>
    <t>Панель PROFI
С ПОЛИМЕРНЫМ ПОКРЫТИЕМ 
ячейка основная 200х55 мм 
диаметр прутка 5 мм</t>
  </si>
  <si>
    <t>Панель BASTION 5/6
ЦИНК
ячейка 200х55 мм диаметр прутка вертикального 4,8мм диаметр прутка горизонтального 5,8мм</t>
  </si>
  <si>
    <t>Панель BASTION 5/6
С ПОЛИМЕРНЫМ ПОКРЫТИЕМ
ячейка 200х55 мм диаметр прутка вертикального 5мм 
диаметр прутка горизонтального 6 мм</t>
  </si>
  <si>
    <t>Инструменты для ограждений</t>
  </si>
  <si>
    <t>Для работы 1 оператора и неглубокого бурения, двигатель 2,45 л.с., можно установить удлинитель к шнеку.</t>
  </si>
  <si>
    <t>Бензобур ADA GroundDrill-5 в комплекте со шнеком Drill 200</t>
  </si>
  <si>
    <t>Для работы двух операторов, двиг. 2,45 л.с., усиленный редуктор, можно установить удлинитель к шнеку.</t>
  </si>
  <si>
    <t>Бензобур ADA GroundDrill-7 в комплекте со шнеком Drill 250</t>
  </si>
  <si>
    <t>Более мощный двиг. 3,26 л.с., для работы двух операторов,большая глубина бурения,можно установить удлинитель к шнеку</t>
  </si>
  <si>
    <t>Бензобур ADA GroundDrill-9 в комплекте со шнеком Drill 250</t>
  </si>
  <si>
    <t>Примечание</t>
  </si>
  <si>
    <t>ВНИМАНИЕ! Расчет погонного метра панели LIGHT производится со столбами 51мм и креплением скоба+саморез</t>
  </si>
  <si>
    <t xml:space="preserve">Производство панелей LIGHT в нескладских типоразмерах - принимаются от 1500 шт. </t>
  </si>
  <si>
    <t>5.6. Временные ограждения, Рулонная сетка</t>
  </si>
  <si>
    <t>Рулонные сетки Optima</t>
  </si>
  <si>
    <t>Диаметр проволоки,мм</t>
  </si>
  <si>
    <t>Высота/ Длина рулона, м</t>
  </si>
  <si>
    <t>Ячейка, мм</t>
  </si>
  <si>
    <r>
      <t>Сетка сварная 
MRT Jarditor Mesh-Brico</t>
    </r>
    <r>
      <rPr>
        <b/>
        <sz val="10"/>
        <rFont val="Arial Cyr"/>
        <charset val="204"/>
      </rPr>
      <t xml:space="preserve">
Сетка сварная 
Europlast </t>
    </r>
  </si>
  <si>
    <t>2,10 - 2,20</t>
  </si>
  <si>
    <t>1,0/25</t>
  </si>
  <si>
    <t>100*50</t>
  </si>
  <si>
    <t>зеленый
RAL 6005</t>
  </si>
  <si>
    <t>1,5/25</t>
  </si>
  <si>
    <t>1,8/25</t>
  </si>
  <si>
    <t>2,0/25</t>
  </si>
  <si>
    <r>
      <t xml:space="preserve">Крепление для рулонной сетки
</t>
    </r>
    <r>
      <rPr>
        <sz val="10"/>
        <rFont val="Arial Cyr"/>
        <charset val="204"/>
      </rPr>
      <t>(пластиковая скоба+саморез 4,8х35)</t>
    </r>
  </si>
  <si>
    <t>Инструмент для сетчатых ограждений</t>
  </si>
  <si>
    <t>Производитель</t>
  </si>
  <si>
    <t>Сфера применения</t>
  </si>
  <si>
    <t>Инструмент для выравнивания сетчатых ограждений Dress Fil</t>
  </si>
  <si>
    <t>EDMA</t>
  </si>
  <si>
    <t>Ограждения</t>
  </si>
  <si>
    <t>Регулирует натяжение сетчатых ограждений путем сгибания проволоки</t>
  </si>
  <si>
    <t>Вес,                       кг/шт.</t>
  </si>
  <si>
    <t>Секция временного ограждения в рамке EURO</t>
  </si>
  <si>
    <t>Секция временного ограждения без рамки Practic (комплект)*</t>
  </si>
  <si>
    <t>Панель временного ограждения 1,74х3,1 Zn - 1 шт</t>
  </si>
  <si>
    <t>1,74х3,1</t>
  </si>
  <si>
    <t>Столб временного ограждения 51х1,2х1950 Zn - 2 шт</t>
  </si>
  <si>
    <t>51х1,2х1950</t>
  </si>
  <si>
    <t>Крепление временных ограждений 51мм цинк Zn</t>
  </si>
  <si>
    <t>Бетонное основание</t>
  </si>
  <si>
    <t>0,6 х 0,2 х 0,125</t>
  </si>
  <si>
    <t>* - продажа временных ограждений ведется комплектно.Отдельно крепления, столбы, панели или основания не продаются.</t>
  </si>
  <si>
    <t>Высота/ Ширина/ Толщина металла, мм</t>
  </si>
  <si>
    <t>Труба профилированная стальная (3м)</t>
  </si>
  <si>
    <t>40х20х2</t>
  </si>
  <si>
    <t>чёрный металл</t>
  </si>
  <si>
    <t>60х60х2</t>
  </si>
  <si>
    <t>Заглушка пластиковая</t>
  </si>
  <si>
    <t>чёрный</t>
  </si>
  <si>
    <t>НН - цена действительна для Поволжья (Нижний Новгород).</t>
  </si>
  <si>
    <t>Газонные, временные ограждения и рулонная сетка</t>
  </si>
  <si>
    <t>Стальные трубы для забора</t>
  </si>
  <si>
    <r>
      <t xml:space="preserve">PurLite Matt </t>
    </r>
    <r>
      <rPr>
        <b/>
        <sz val="11"/>
        <color indexed="10"/>
        <rFont val="Arial Cyr"/>
        <charset val="204"/>
      </rPr>
      <t>NEW</t>
    </r>
  </si>
  <si>
    <t>Satin Matt (1)</t>
  </si>
  <si>
    <t>Quarzit Pro Matt (1)</t>
  </si>
  <si>
    <t>Colority  Print dp (1)</t>
  </si>
  <si>
    <t>GreenCoat Pural BT, Pural BT Matt (1)</t>
  </si>
  <si>
    <t>Satin Matt
(1)</t>
  </si>
  <si>
    <t>PE 
0,4/0,45</t>
  </si>
  <si>
    <r>
      <rPr>
        <b/>
        <sz val="10"/>
        <rFont val="Arial Cyr"/>
        <charset val="204"/>
      </rPr>
      <t>Планка П-образная заборная 17</t>
    </r>
    <r>
      <rPr>
        <sz val="10"/>
        <rFont val="Arial Cyr"/>
        <charset val="204"/>
      </rPr>
      <t xml:space="preserve"> - используется для профнастилов С8 и С10.
</t>
    </r>
    <r>
      <rPr>
        <b/>
        <sz val="10"/>
        <rFont val="Arial Cyr"/>
        <charset val="204"/>
      </rPr>
      <t>Планка П-образная заборная 20</t>
    </r>
    <r>
      <rPr>
        <sz val="10"/>
        <rFont val="Arial Cyr"/>
        <charset val="204"/>
      </rPr>
      <t xml:space="preserve"> - используется для профнастила С20 и для штакетников П- и М-образного.</t>
    </r>
  </si>
  <si>
    <r>
      <t xml:space="preserve">390 </t>
    </r>
    <r>
      <rPr>
        <b/>
        <sz val="10"/>
        <rFont val="Arial Cyr"/>
        <charset val="204"/>
      </rPr>
      <t>NEW</t>
    </r>
  </si>
  <si>
    <t>Стоимость парапетной крышки рассчитывается как стоимость нестандартного доборного элемента</t>
  </si>
  <si>
    <t>(1) Доборные элементы в покрытии Quarzit Pro Matt, Velur, GreenCoat Pural Matt BT, PurLite Matt, Стальной бархат, Satin Matt, Drap, Colority Print, Safari, Print РФ  изготавливаются без защитной пленки.</t>
  </si>
  <si>
    <t>(2) Доборные элементы для продукции в PE 0,4-0,45 изготавливаются по цене доборных элементов в покрытии Satin</t>
  </si>
  <si>
    <t>(3) Цвет обратной стороны покрытия Safari Grey не совпадает с цветом лицевой стороны, светлый серый (примерно RAL 7005)</t>
  </si>
  <si>
    <t>(4) Вся продукция изготавливается из металла по ГОСТ 52246-2016 и ГОСТ 34180-2018</t>
  </si>
  <si>
    <t>ПН С8 Дачный, C8A, C8A фигурный, C8B (в толщине 0,3-0,4 мм) - 10, другие номенклатуры - 6, образцы ПН - 20</t>
  </si>
  <si>
    <t>Упаковка отмотки Inside (рулон)</t>
  </si>
  <si>
    <t>Quadro Profi</t>
  </si>
  <si>
    <t>Twin</t>
  </si>
  <si>
    <t>Twin Фигурный</t>
  </si>
  <si>
    <t>Shtaket_Tw_Ptdp</t>
  </si>
  <si>
    <t>Shtaket_Tw_Pt</t>
  </si>
  <si>
    <t>Shtaket_Tw_Sf</t>
  </si>
  <si>
    <t>Shtaket_Tw_Ql</t>
  </si>
  <si>
    <t>Shtaket_Tw_Vel</t>
  </si>
  <si>
    <t>Shtaket_Tw_Atl</t>
  </si>
  <si>
    <t>Shtaket_Tw_PurMatt</t>
  </si>
  <si>
    <t>Shtaket_Tw_Pur</t>
  </si>
  <si>
    <t>Shtaket_Tw_PurLiteMatt</t>
  </si>
  <si>
    <t>Shtaket_Tw_StBarhat</t>
  </si>
  <si>
    <t>Shtaket_Tw_SatMatt</t>
  </si>
  <si>
    <t>Shtaket_Tw_Dr</t>
  </si>
  <si>
    <t>Shtaket_Tw_Sat</t>
  </si>
  <si>
    <t>Shtaket_Tw_PEdp</t>
  </si>
  <si>
    <t>Shtaket_Tw_Pe08</t>
  </si>
  <si>
    <t>Shtaket_Tw_Pe07</t>
  </si>
  <si>
    <t>Shtaket_Tw_Pe045</t>
  </si>
  <si>
    <t>Shtaket_Tw_Pe04</t>
  </si>
  <si>
    <t>Shtaket_Tw_PeMatt04</t>
  </si>
  <si>
    <t>Shtaket_Tw_dachSk</t>
  </si>
  <si>
    <t>Shtaket_Twf_Ptdp</t>
  </si>
  <si>
    <t>Shtaket_Twf_Pt</t>
  </si>
  <si>
    <t>Shtaket_Twf_Sf</t>
  </si>
  <si>
    <t>Shtaket_Twf_Ql</t>
  </si>
  <si>
    <t>Shtaket_Twf_Vel</t>
  </si>
  <si>
    <t>Shtaket_Twf_Atl</t>
  </si>
  <si>
    <t>Shtaket_Twf_PurMatt</t>
  </si>
  <si>
    <t>Shtaket_Twf_Pur</t>
  </si>
  <si>
    <t>Shtaket_Twf_PurLiteMatt</t>
  </si>
  <si>
    <t>Shtaket_Twf_StBarhat</t>
  </si>
  <si>
    <t>Shtaket_Twf_SatMatt</t>
  </si>
  <si>
    <t>Shtaket_Twf_Dr</t>
  </si>
  <si>
    <t>Shtaket_Twf_Sat</t>
  </si>
  <si>
    <t>Shtaket_Twf_PEdp</t>
  </si>
  <si>
    <t>Shtaket_Twf_Pe08</t>
  </si>
  <si>
    <t>Shtaket_Twf_Pe07</t>
  </si>
  <si>
    <t>Shtaket_Twf_Pe045</t>
  </si>
  <si>
    <t>Shtaket_Twf_Pe04</t>
  </si>
  <si>
    <t>Shtaket_Twf_PeMatt04</t>
  </si>
  <si>
    <t>Shtaket_Twf_dachSk</t>
  </si>
  <si>
    <t>Shtaket_Tw_QproMatt</t>
  </si>
  <si>
    <t>Shtaket_Twf_QproMatt</t>
  </si>
  <si>
    <t>Shtaket_Tw_Q</t>
  </si>
  <si>
    <t>Shtaket_Twf_Q</t>
  </si>
  <si>
    <t>Shtaket_Tw_PtRF</t>
  </si>
  <si>
    <t>Shtaket_Twf_PtRF</t>
  </si>
  <si>
    <t>Shtaket_Tw_dachPr</t>
  </si>
  <si>
    <t>Shtaket_Twf_dachPr</t>
  </si>
  <si>
    <t>Quadro_Ptdp</t>
  </si>
  <si>
    <t>Quadro_Pt</t>
  </si>
  <si>
    <t>Quadro_Sf</t>
  </si>
  <si>
    <t>Quadro_QproMatt</t>
  </si>
  <si>
    <t>Quadro_Q</t>
  </si>
  <si>
    <t>Quadro_Ql</t>
  </si>
  <si>
    <t>Quadro_Vel</t>
  </si>
  <si>
    <t>Quadro_Atl</t>
  </si>
  <si>
    <t>Quadro_PurMatt</t>
  </si>
  <si>
    <t>Quadro_Pur</t>
  </si>
  <si>
    <t>Quadro_PurLiteMatt</t>
  </si>
  <si>
    <t>Quadro_StBarhat</t>
  </si>
  <si>
    <t>Quadro_SatMatt</t>
  </si>
  <si>
    <t>Quadro_Dr</t>
  </si>
  <si>
    <t>Quadro_Sat</t>
  </si>
  <si>
    <t>Quadro_PEdp</t>
  </si>
  <si>
    <t>Quadro_Pe08</t>
  </si>
  <si>
    <t>Quadro_Pe07</t>
  </si>
  <si>
    <t>Quadro_Pe045</t>
  </si>
  <si>
    <t>Quadro_Pe04</t>
  </si>
  <si>
    <t>Quadro_PeMatt04</t>
  </si>
  <si>
    <t>Quadro_dachPr</t>
  </si>
  <si>
    <t>Quadro_dachSk</t>
  </si>
  <si>
    <t>Штакетник Круглый/Прямоугольный</t>
  </si>
  <si>
    <t>Цинк 0,55</t>
  </si>
  <si>
    <t>0,5/3</t>
  </si>
  <si>
    <t>Штакетник П/М</t>
  </si>
  <si>
    <t>Kvinta Uno</t>
  </si>
  <si>
    <t>PurLite Matt (1)</t>
  </si>
  <si>
    <t>Кронштейн для уличного освещения 
к столбу 80х80</t>
  </si>
  <si>
    <t>87,2 х 90,9</t>
  </si>
  <si>
    <t>Ограждение Grand Line®
Эстет Плюс</t>
  </si>
  <si>
    <t>Ограждение Grand Line®
Эстет</t>
  </si>
  <si>
    <t>АКЦИЯ</t>
  </si>
  <si>
    <t>Панель Эстет</t>
  </si>
  <si>
    <t>Ваша Скидка (АКЦИЯ)</t>
  </si>
  <si>
    <t xml:space="preserve">RAL 1021 - желтый 
RAL 3005 - вишневый 
RAL 3020 - красный 
RAL 5005 - синий 
RAL 7016 - темно-серый 
RAL 7040 - светло-серый 
RAL 8017 - коричневый 
RAL 9005 - черный 
RAL 9016 - ярко-белый </t>
  </si>
  <si>
    <t>Эстет*</t>
  </si>
  <si>
    <t>Эстет Плюс*</t>
  </si>
  <si>
    <t xml:space="preserve">Калитка Эстет Плюс  </t>
  </si>
  <si>
    <t xml:space="preserve">Ворота Эстет </t>
  </si>
  <si>
    <t xml:space="preserve">Ворота Эстет Плюс </t>
  </si>
  <si>
    <t>1,23*2,5</t>
  </si>
  <si>
    <t>Калитка Эстет</t>
  </si>
  <si>
    <t>Кликфальц / Кликфальц Line</t>
  </si>
  <si>
    <t>Инструмент для монтажа забора-жалюзи</t>
  </si>
  <si>
    <t>Кровельный дырокол POLYPERFOR EDMA</t>
  </si>
  <si>
    <t>Инструмент</t>
  </si>
  <si>
    <t>Kvinta plus 3D</t>
  </si>
  <si>
    <t>Если геометрия забора подразумевает наличие углов, отличных от 90 градусов, для каждого такого угла - необходим дополнительный столб.</t>
  </si>
  <si>
    <r>
      <rPr>
        <b/>
        <sz val="10"/>
        <rFont val="Arial Cyr"/>
        <charset val="204"/>
      </rPr>
      <t>Примечание</t>
    </r>
    <r>
      <rPr>
        <sz val="10"/>
        <rFont val="Arial Cyr"/>
        <charset val="204"/>
      </rPr>
      <t>: Максимально возможная длина крышки – 3 м. Для ламелей длиной более 2,87 метров – используется крышка длиной 3 м. и будут необходимы заглушки для столба.</t>
    </r>
  </si>
  <si>
    <t>Дачный Print (Camuflage)</t>
  </si>
  <si>
    <t>Дачный Print (Twincolor)</t>
  </si>
  <si>
    <t>KvintaPl_dachPr_k</t>
  </si>
  <si>
    <t>Kamea_dachPr_k</t>
  </si>
  <si>
    <t>Kredo_dachPr_k</t>
  </si>
  <si>
    <t>Classic_dachPr_k</t>
  </si>
  <si>
    <t>Modern_dachPr_k</t>
  </si>
  <si>
    <t>Quadro_dachPr_k</t>
  </si>
  <si>
    <t>Sofit_dachPr_k</t>
  </si>
  <si>
    <t>Falz2_dachPr_k</t>
  </si>
  <si>
    <t>Klik_dachPr_k</t>
  </si>
  <si>
    <t>Klik_mini_dachPr_k</t>
  </si>
  <si>
    <t>PnC8_dachPr_k</t>
  </si>
  <si>
    <t>PnC10_dachPr_k</t>
  </si>
  <si>
    <t>PnC10f_dachPr_k</t>
  </si>
  <si>
    <t>PnC20_dachPr_k</t>
  </si>
  <si>
    <t>PnC21_dachPr_k</t>
  </si>
  <si>
    <t>PnHC35_dachPr_k</t>
  </si>
  <si>
    <t>PnH60_dachPr_k</t>
  </si>
  <si>
    <t>PnH75_dachPr_k</t>
  </si>
  <si>
    <t>ShtripsFalz_dachPr_k</t>
  </si>
  <si>
    <t>List_dachPr_k</t>
  </si>
  <si>
    <t>S_KDoska_dachPr_k</t>
  </si>
  <si>
    <t>S_Vertikal_dachPr_k</t>
  </si>
  <si>
    <t>S_EBrus_dachPr_k</t>
  </si>
  <si>
    <t>S_BHaus_dachPr_k</t>
  </si>
  <si>
    <t>S_BHausNew_dachPr_k</t>
  </si>
  <si>
    <t>Shtaket_MP_dachPr_k</t>
  </si>
  <si>
    <t>Shtaket_MPf_dachPr_k</t>
  </si>
  <si>
    <t>Shtaket_Tw_dachPr_k</t>
  </si>
  <si>
    <t>Shtaket_Twf_dachPr_k</t>
  </si>
  <si>
    <t>Shtaket_Kr_dachPr_k</t>
  </si>
  <si>
    <t>Shtaket_Krf_dachPr_k</t>
  </si>
  <si>
    <t>Shtaket_Pr_dachPr_k</t>
  </si>
  <si>
    <t>Shtaket_Prf_dachPr_k</t>
  </si>
  <si>
    <t>KvintaPl_dachPr_tw</t>
  </si>
  <si>
    <t>Kamea_dachPr_tw</t>
  </si>
  <si>
    <t>Kredo_dachPr_tw</t>
  </si>
  <si>
    <t>Classic_dachPr_tw</t>
  </si>
  <si>
    <t>Modern_dachPr_tw</t>
  </si>
  <si>
    <t>Quadro_dachPr_tw</t>
  </si>
  <si>
    <t>Sofit_dachPr_tw</t>
  </si>
  <si>
    <t>Falz2_dachPr_tw</t>
  </si>
  <si>
    <t>Klik_dachPr_tw</t>
  </si>
  <si>
    <t>Klik_mini_dachPr_tw</t>
  </si>
  <si>
    <t>PnC8_dachPr_tw</t>
  </si>
  <si>
    <t>PnC10_dachPr_tw</t>
  </si>
  <si>
    <t>PnC10f_dachPr_tw</t>
  </si>
  <si>
    <t>PnC20_dachPr_tw</t>
  </si>
  <si>
    <t>PnC21_dachPr_tw</t>
  </si>
  <si>
    <t>PnHC35_dachPr_tw</t>
  </si>
  <si>
    <t>PnH60_dachPr_tw</t>
  </si>
  <si>
    <t>PnH75_dachPr_tw</t>
  </si>
  <si>
    <t>ShtripsFalz_dachPr_tw</t>
  </si>
  <si>
    <t>List_dachPr_tw</t>
  </si>
  <si>
    <t>S_KDoska_dachPr_tw</t>
  </si>
  <si>
    <t>S_Vertikal_dachPr_tw</t>
  </si>
  <si>
    <t>S_EBrus_dachPr_tw</t>
  </si>
  <si>
    <t>S_BHaus_dachPr_tw</t>
  </si>
  <si>
    <t>S_BHausNew_dachPr_tw</t>
  </si>
  <si>
    <t>Shtaket_MP_dachPr_tw</t>
  </si>
  <si>
    <t>Shtaket_MPf_dachPr_tw</t>
  </si>
  <si>
    <t>Shtaket_Tw_dachPr_tw</t>
  </si>
  <si>
    <t>Shtaket_Twf_dachPr_tw</t>
  </si>
  <si>
    <t>Shtaket_Kr_dachPr_tw</t>
  </si>
  <si>
    <t>Shtaket_Krf_dachPr_tw</t>
  </si>
  <si>
    <t>Shtaket_Pr_dachPr_tw</t>
  </si>
  <si>
    <t>Shtaket_Prf_dachPr_tw</t>
  </si>
  <si>
    <t>Дачный PE Print склад</t>
  </si>
  <si>
    <t>Дачный Print (склад)</t>
  </si>
  <si>
    <t>Дачный Print Twincolor (склад)</t>
  </si>
  <si>
    <t>Возможно производство под заказ от 300 погонных метров ограждения в следующих цветах: зеленый RAL 6005, синий RAL 5005,  серый RAL 7040, желтый RAL 1021, вишневый RAL 3005, коричневый RAL 8017, темно-серый RAL 7016 
Остальные цвета по запросу: принимаются согласно каталогу RAL с наценкой  10 %, в количестве от 600 погонных метров</t>
  </si>
  <si>
    <t xml:space="preserve">Возможно производство под заказ от 300 погонных метров ограждения в следующих цветах: зеленый RAL 6005, синий RAL 5005, серый RAL 7040, желтый RAL 1021, вишневый RAL 3005, коричневый RAL 8017, темно-серый RAL 7016 </t>
  </si>
  <si>
    <t>Остальные цвета по запросу согласно RAL с наценкой  10 %, в количестве не менее 600 погонных метров</t>
  </si>
  <si>
    <t>Cтандартные цвета по RAL: 1021, 3005, 5005, 6005, 7016, 7040, 8017.</t>
  </si>
  <si>
    <t>* - подходит для любых ворот с прямоугольным профилем</t>
  </si>
  <si>
    <t>Полукруглый</t>
  </si>
  <si>
    <t>Полукруглый Фигурный</t>
  </si>
  <si>
    <t>Shtaket_Pk_Ptdp</t>
  </si>
  <si>
    <t>Shtaket_Pk_Pt</t>
  </si>
  <si>
    <t>Shtaket_Pk_Sf</t>
  </si>
  <si>
    <t>Shtaket_Pk_PtRF</t>
  </si>
  <si>
    <t>Shtaket_Pk_QproMatt</t>
  </si>
  <si>
    <t>Shtaket_Pk_Q</t>
  </si>
  <si>
    <t>Shtaket_Pk_Ql</t>
  </si>
  <si>
    <t>Shtaket_Pk_Vel</t>
  </si>
  <si>
    <t>Shtaket_Pk_Atl</t>
  </si>
  <si>
    <t>Shtaket_Pk_PurMatt</t>
  </si>
  <si>
    <t>Shtaket_Pk_Pur</t>
  </si>
  <si>
    <t>Shtaket_Pk_PurLiteMatt</t>
  </si>
  <si>
    <t>Shtaket_Pk_StBarhat</t>
  </si>
  <si>
    <t>Shtaket_Pk_SatMatt</t>
  </si>
  <si>
    <t>Shtaket_Pk_Dr</t>
  </si>
  <si>
    <t>Shtaket_Pk_Sat</t>
  </si>
  <si>
    <t>Shtaket_Pk_PEdp</t>
  </si>
  <si>
    <t>Shtaket_Pk_Pe08</t>
  </si>
  <si>
    <t>Shtaket_Pk_Pe07</t>
  </si>
  <si>
    <t>Shtaket_Pk_Pe045</t>
  </si>
  <si>
    <t>Shtaket_Pk_Pe04</t>
  </si>
  <si>
    <t>Shtaket_Pk_PeMatt04</t>
  </si>
  <si>
    <t>Shtaket_Pk_dachPr</t>
  </si>
  <si>
    <t>Shtaket_Pk_dachSk</t>
  </si>
  <si>
    <t>Shtaket_Pk_dachPr_k</t>
  </si>
  <si>
    <t>Shtaket_Pk_dachPr_tw</t>
  </si>
  <si>
    <t>Shtaket_Pkf_Ptdp</t>
  </si>
  <si>
    <t>Shtaket_Pkf_Pt</t>
  </si>
  <si>
    <t>Shtaket_Pkf_Sf</t>
  </si>
  <si>
    <t>Shtaket_Pkf_PtRF</t>
  </si>
  <si>
    <t>Shtaket_Pkf_QproMatt</t>
  </si>
  <si>
    <t>Shtaket_Pkf_Q</t>
  </si>
  <si>
    <t>Shtaket_Pkf_Ql</t>
  </si>
  <si>
    <t>Shtaket_Pkf_Vel</t>
  </si>
  <si>
    <t>Shtaket_Pkf_Atl</t>
  </si>
  <si>
    <t>Shtaket_Pkf_PurMatt</t>
  </si>
  <si>
    <t>Shtaket_Pkf_Pur</t>
  </si>
  <si>
    <t>Shtaket_Pkf_PurLiteMatt</t>
  </si>
  <si>
    <t>Shtaket_Pkf_StBarhat</t>
  </si>
  <si>
    <t>Shtaket_Pkf_SatMatt</t>
  </si>
  <si>
    <t>Shtaket_Pkf_Dr</t>
  </si>
  <si>
    <t>Shtaket_Pkf_Sat</t>
  </si>
  <si>
    <t>Shtaket_Pkf_PEdp</t>
  </si>
  <si>
    <t>Shtaket_Pkf_Pe08</t>
  </si>
  <si>
    <t>Shtaket_Pkf_Pe07</t>
  </si>
  <si>
    <t>Shtaket_Pkf_Pe045</t>
  </si>
  <si>
    <t>Shtaket_Pkf_Pe04</t>
  </si>
  <si>
    <t>Shtaket_Pkf_PeMatt04</t>
  </si>
  <si>
    <t>Shtaket_Pkf_dachPr</t>
  </si>
  <si>
    <t>Shtaket_Pkf_dachSk</t>
  </si>
  <si>
    <t>Shtaket_Pkf_dachPr_k</t>
  </si>
  <si>
    <t>Shtaket_Pkf_dachPr_tw</t>
  </si>
  <si>
    <t>0,5/2,5</t>
  </si>
  <si>
    <t>131/-</t>
  </si>
  <si>
    <r>
      <t xml:space="preserve">Полукруглый </t>
    </r>
    <r>
      <rPr>
        <b/>
        <sz val="10"/>
        <color indexed="10"/>
        <rFont val="Arial Cyr"/>
        <charset val="204"/>
      </rPr>
      <t>NEW</t>
    </r>
  </si>
  <si>
    <r>
      <t xml:space="preserve">Полукруглый Фигурный </t>
    </r>
    <r>
      <rPr>
        <b/>
        <sz val="10"/>
        <color indexed="10"/>
        <rFont val="Arial Cyr"/>
        <charset val="204"/>
      </rPr>
      <t>NEW</t>
    </r>
  </si>
  <si>
    <t>Металлический штакетник М-образны, П-образный, Twin, Полукруглый в каждом покрытии, цвете и типоразмере (с шагом 1 см) изготавливаются только в количестве, кратном 10-ти шт.</t>
  </si>
  <si>
    <t>Наценка на продукцию в цвете RAL 7016 (для всех покрытий, кроме группы Premium) 
и в цветах RAL 2004, RAL 1018</t>
  </si>
  <si>
    <t>коричневый RAL 8017
зеленый RAL 6005</t>
  </si>
  <si>
    <t>зеленый RAL 6005
серый RAL 7040
коричневый RAL 8017
коричневый RR 32
вишневый RAL 3005</t>
  </si>
  <si>
    <r>
      <t xml:space="preserve">Крышка 65х60 (для ворот и калиток) </t>
    </r>
    <r>
      <rPr>
        <b/>
        <sz val="10"/>
        <color indexed="10"/>
        <rFont val="Arial"/>
        <family val="2"/>
        <charset val="204"/>
      </rPr>
      <t>NEW</t>
    </r>
  </si>
  <si>
    <t>Safari - БРАУН</t>
  </si>
  <si>
    <t>Safari - ДРУГИЕ цвета</t>
  </si>
  <si>
    <t>KvintaPl_Sf_a</t>
  </si>
  <si>
    <t>KvintaUno_Sf_a</t>
  </si>
  <si>
    <t>Kamea_Sf_a</t>
  </si>
  <si>
    <t>Kredo_Sf_a</t>
  </si>
  <si>
    <t>Classic_Sf_a</t>
  </si>
  <si>
    <t>Modern_Sf_a</t>
  </si>
  <si>
    <t>Quadro_Sf_a</t>
  </si>
  <si>
    <t>Sofit_Sf_a</t>
  </si>
  <si>
    <t>Falz2_Sf_a</t>
  </si>
  <si>
    <t>KlikPro_Sf_a</t>
  </si>
  <si>
    <t>Klik_Sf_a</t>
  </si>
  <si>
    <t>Klik_mini_Sf_a</t>
  </si>
  <si>
    <t>PnC8_Sf_a</t>
  </si>
  <si>
    <t>PnC8f_Sf_a</t>
  </si>
  <si>
    <t>PnC10_Sf_a</t>
  </si>
  <si>
    <t>PnC10f_Sf_a</t>
  </si>
  <si>
    <t>PnC20_Sf_a</t>
  </si>
  <si>
    <t>PnC20f_Sf_a</t>
  </si>
  <si>
    <t>PnC21_Sf_a</t>
  </si>
  <si>
    <t>PnHC35_Sf_a</t>
  </si>
  <si>
    <t>PnH60_Sf_a</t>
  </si>
  <si>
    <t>PnH75_Sf_a</t>
  </si>
  <si>
    <t>ShtripsFalz_Sf_a</t>
  </si>
  <si>
    <t>List_Sf_a</t>
  </si>
  <si>
    <t>S_KDoska_Sf_a</t>
  </si>
  <si>
    <t>S_Vertikal_Sf_a</t>
  </si>
  <si>
    <t>S_EBrus_Sf_a</t>
  </si>
  <si>
    <t>S_BHaus_Sf_a</t>
  </si>
  <si>
    <t>S_BHausNew_Sf_a</t>
  </si>
  <si>
    <t>S_Shtukaturka_Sf_a</t>
  </si>
  <si>
    <t>Shtaket_MP_Sf_a</t>
  </si>
  <si>
    <t>Shtaket_MPf_Sf_a</t>
  </si>
  <si>
    <t>Shtaket_Tw_Sf_a</t>
  </si>
  <si>
    <t>Shtaket_Twf_Sf_a</t>
  </si>
  <si>
    <t>Shtaket_Pk_Sf_a</t>
  </si>
  <si>
    <t>Shtaket_Pkf_Sf_a</t>
  </si>
  <si>
    <t>Shtaket_Kr_Sf_a</t>
  </si>
  <si>
    <t>Shtaket_Krf_Sf_a</t>
  </si>
  <si>
    <t>Shtaket_Pr_Sf_a</t>
  </si>
  <si>
    <t>Shtaket_Prf_Sf_a</t>
  </si>
  <si>
    <t>Металл в покрытии Safari в цветах Orange, Gray</t>
  </si>
  <si>
    <r>
      <t xml:space="preserve"> Orange, Gray
</t>
    </r>
    <r>
      <rPr>
        <b/>
        <sz val="10"/>
        <color indexed="10"/>
        <rFont val="Arial Cyr"/>
        <charset val="204"/>
      </rPr>
      <t>АКЦИЯ</t>
    </r>
  </si>
  <si>
    <t>Цена, руб/кв.м.</t>
  </si>
  <si>
    <t>Плоский лист, штрипс, отматка</t>
  </si>
  <si>
    <t xml:space="preserve">Kamea  </t>
  </si>
  <si>
    <t>Фальцевая кровля и софит металлический</t>
  </si>
  <si>
    <t>Блок=Хаус New</t>
  </si>
  <si>
    <t>Металлический штакетник</t>
  </si>
  <si>
    <t>Двойной стоячий фальц / Двойной стоячий фальц Line</t>
  </si>
  <si>
    <r>
      <t xml:space="preserve">Кликфальц Pro / Кликфальц Pro Line / Кликфальц Pro Gofr </t>
    </r>
    <r>
      <rPr>
        <b/>
        <sz val="11"/>
        <color indexed="10"/>
        <rFont val="Arial Cyr"/>
        <charset val="204"/>
      </rPr>
      <t>NEW</t>
    </r>
  </si>
  <si>
    <t>Предложение действительно до распродажи складских остатков.</t>
  </si>
  <si>
    <t>Цинк 0,5</t>
  </si>
  <si>
    <r>
      <rPr>
        <b/>
        <sz val="10"/>
        <color indexed="10"/>
        <rFont val="Arial Cyr"/>
        <charset val="204"/>
      </rPr>
      <t>Акция:</t>
    </r>
    <r>
      <rPr>
        <b/>
        <sz val="10"/>
        <rFont val="Arial Cyr"/>
        <charset val="204"/>
      </rPr>
      <t xml:space="preserve"> Grey, Orange</t>
    </r>
  </si>
  <si>
    <t>Обнинск, Нижний Новгород, Киров, Екатеринбург</t>
  </si>
  <si>
    <t>зеленый RAL 6005, цинк</t>
  </si>
  <si>
    <t>2,0х3,45</t>
  </si>
</sst>
</file>

<file path=xl/styles.xml><?xml version="1.0" encoding="utf-8"?>
<styleSheet xmlns="http://schemas.openxmlformats.org/spreadsheetml/2006/main">
  <numFmts count="9">
    <numFmt numFmtId="164" formatCode="_-* #,##0.00_р_._-;\-* #,##0.00_р_._-;_-* &quot;-&quot;??_р_._-;_-@_-"/>
    <numFmt numFmtId="165" formatCode="0.0"/>
    <numFmt numFmtId="166" formatCode="#,##0.00_р_."/>
    <numFmt numFmtId="167" formatCode="0.000"/>
    <numFmt numFmtId="171" formatCode="_([$€]* #,##0.00_);_([$€]* \(#,##0.00\);_([$€]* &quot;-&quot;??_);_(@_)"/>
    <numFmt numFmtId="172" formatCode="_([$€]* #,##0.00_);_([$€]* \(#,##0.00\);_([$€]* \-??_);_(@_)"/>
    <numFmt numFmtId="173" formatCode="_(\$* #,##0.00_);_(\$* \(#,##0.00\);_(\$* \-??_);_(@_)"/>
    <numFmt numFmtId="174" formatCode="_-* #,##0.00_р_._-;\-* #,##0.00_р_._-;_-* \-??_р_._-;_-@_-"/>
    <numFmt numFmtId="175" formatCode="_(* #,##0.00_);_(* \(#,##0.00\);_(* &quot;-&quot;??_);_(@_)"/>
  </numFmts>
  <fonts count="64">
    <font>
      <sz val="11"/>
      <color theme="1"/>
      <name val="Calibri"/>
      <family val="2"/>
      <charset val="204"/>
      <scheme val="minor"/>
    </font>
    <font>
      <sz val="11"/>
      <color indexed="8"/>
      <name val="Calibri"/>
      <family val="2"/>
      <charset val="204"/>
    </font>
    <font>
      <sz val="10"/>
      <color indexed="8"/>
      <name val="Arial Cyr"/>
      <charset val="204"/>
    </font>
    <font>
      <sz val="10"/>
      <color indexed="10"/>
      <name val="Arial Cyr"/>
      <charset val="204"/>
    </font>
    <font>
      <sz val="10"/>
      <name val="Arial Cyr"/>
      <charset val="204"/>
    </font>
    <font>
      <u/>
      <sz val="10"/>
      <color indexed="12"/>
      <name val="Arial Cyr"/>
      <family val="2"/>
      <charset val="204"/>
    </font>
    <font>
      <sz val="10"/>
      <color indexed="12"/>
      <name val="Arial Cyr"/>
      <family val="2"/>
      <charset val="204"/>
    </font>
    <font>
      <b/>
      <sz val="14"/>
      <color indexed="10"/>
      <name val="Arial Cyr"/>
      <charset val="204"/>
    </font>
    <font>
      <b/>
      <sz val="12"/>
      <name val="Arial Cyr"/>
      <charset val="204"/>
    </font>
    <font>
      <b/>
      <sz val="10"/>
      <color indexed="8"/>
      <name val="Arial Cyr"/>
      <charset val="204"/>
    </font>
    <font>
      <sz val="10"/>
      <name val="Arial"/>
      <family val="2"/>
      <charset val="177"/>
    </font>
    <font>
      <sz val="10"/>
      <name val="Arial"/>
      <family val="2"/>
    </font>
    <font>
      <sz val="8"/>
      <name val="Arial"/>
      <family val="2"/>
      <charset val="204"/>
    </font>
    <font>
      <sz val="11"/>
      <color indexed="8"/>
      <name val="Calibri"/>
      <family val="2"/>
      <charset val="204"/>
    </font>
    <font>
      <b/>
      <sz val="10"/>
      <name val="Arial Cyr"/>
      <charset val="204"/>
    </font>
    <font>
      <b/>
      <sz val="10"/>
      <color indexed="10"/>
      <name val="Arial Cyr"/>
      <charset val="204"/>
    </font>
    <font>
      <sz val="10"/>
      <name val="Arial Cyr"/>
      <family val="2"/>
      <charset val="204"/>
    </font>
    <font>
      <sz val="11"/>
      <name val="Arial Cyr"/>
      <charset val="204"/>
    </font>
    <font>
      <b/>
      <sz val="11"/>
      <name val="Arial Cyr"/>
      <charset val="204"/>
    </font>
    <font>
      <sz val="12"/>
      <color indexed="8"/>
      <name val="Arial Cyr"/>
      <charset val="204"/>
    </font>
    <font>
      <b/>
      <sz val="11"/>
      <color indexed="8"/>
      <name val="Calibri"/>
      <family val="2"/>
      <charset val="204"/>
    </font>
    <font>
      <b/>
      <u/>
      <sz val="10"/>
      <color indexed="12"/>
      <name val="Arial Cyr"/>
      <charset val="204"/>
    </font>
    <font>
      <sz val="16"/>
      <name val="Arial Cyr"/>
      <charset val="204"/>
    </font>
    <font>
      <b/>
      <sz val="14"/>
      <name val="Arial"/>
      <family val="2"/>
      <charset val="204"/>
    </font>
    <font>
      <sz val="10"/>
      <name val="Arial"/>
      <family val="2"/>
      <charset val="204"/>
    </font>
    <font>
      <u/>
      <sz val="10"/>
      <color indexed="12"/>
      <name val="Arial Cyr"/>
      <charset val="204"/>
    </font>
    <font>
      <b/>
      <sz val="10"/>
      <color indexed="10"/>
      <name val="Arial"/>
      <family val="2"/>
      <charset val="204"/>
    </font>
    <font>
      <b/>
      <sz val="10"/>
      <name val="Arial"/>
      <family val="2"/>
      <charset val="204"/>
    </font>
    <font>
      <b/>
      <sz val="10"/>
      <name val="Arial Cyr"/>
      <family val="2"/>
      <charset val="1"/>
    </font>
    <font>
      <sz val="10"/>
      <name val="Arial Cyr"/>
      <family val="2"/>
      <charset val="1"/>
    </font>
    <font>
      <sz val="10"/>
      <color indexed="8"/>
      <name val="Arial Cyr"/>
      <family val="2"/>
      <charset val="1"/>
    </font>
    <font>
      <b/>
      <sz val="11"/>
      <color indexed="8"/>
      <name val="Arial Cyr"/>
      <charset val="204"/>
    </font>
    <font>
      <b/>
      <sz val="11"/>
      <color indexed="10"/>
      <name val="Arial Cyr"/>
      <charset val="204"/>
    </font>
    <font>
      <sz val="11"/>
      <color indexed="10"/>
      <name val="Calibri"/>
      <family val="2"/>
      <charset val="204"/>
    </font>
    <font>
      <b/>
      <sz val="14"/>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7"/>
      <name val="Calibri"/>
      <family val="2"/>
      <charset val="204"/>
    </font>
    <font>
      <sz val="10"/>
      <name val="Helv"/>
      <charset val="204"/>
    </font>
    <font>
      <b/>
      <sz val="24"/>
      <color indexed="10"/>
      <name val="Arial Cyr"/>
      <charset val="204"/>
    </font>
    <font>
      <b/>
      <sz val="11"/>
      <name val="Calibri"/>
      <family val="2"/>
      <charset val="204"/>
    </font>
    <font>
      <b/>
      <sz val="12"/>
      <name val="Arial"/>
      <family val="2"/>
      <charset val="204"/>
    </font>
    <font>
      <sz val="11"/>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0"/>
      <color rgb="FFC0C0C0"/>
      <name val="Arial Cyr"/>
      <charset val="204"/>
    </font>
    <font>
      <sz val="11"/>
      <color rgb="FFC0C0C0"/>
      <name val="Calibri"/>
      <family val="2"/>
      <charset val="204"/>
      <scheme val="minor"/>
    </font>
    <font>
      <sz val="11"/>
      <name val="Calibri"/>
      <family val="2"/>
      <charset val="204"/>
      <scheme val="minor"/>
    </font>
    <font>
      <sz val="10"/>
      <color rgb="FFFF0000"/>
      <name val="Arial Cyr"/>
      <charset val="204"/>
    </font>
    <font>
      <b/>
      <sz val="10"/>
      <color rgb="FFFF0000"/>
      <name val="Arial Cyr"/>
      <charset val="204"/>
    </font>
    <font>
      <sz val="10"/>
      <color rgb="FFFF0000"/>
      <name val="Arial"/>
      <family val="2"/>
      <charset val="204"/>
    </font>
    <font>
      <b/>
      <sz val="10"/>
      <color rgb="FFFF0000"/>
      <name val="Arial"/>
      <family val="2"/>
      <charset val="204"/>
    </font>
  </fonts>
  <fills count="57">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51"/>
        <bgColor indexed="64"/>
      </patternFill>
    </fill>
    <fill>
      <patternFill patternType="solid">
        <fgColor indexed="13"/>
        <bgColor indexed="64"/>
      </patternFill>
    </fill>
    <fill>
      <patternFill patternType="solid">
        <fgColor rgb="FFC0C0C0"/>
        <bgColor indexed="64"/>
      </patternFill>
    </fill>
    <fill>
      <patternFill patternType="solid">
        <fgColor rgb="FFC0C0C0"/>
        <bgColor indexed="31"/>
      </patternFill>
    </fill>
    <fill>
      <patternFill patternType="solid">
        <fgColor rgb="FF00FF00"/>
        <bgColor indexed="64"/>
      </patternFill>
    </fill>
    <fill>
      <patternFill patternType="solid">
        <fgColor theme="0"/>
        <bgColor indexed="64"/>
      </patternFill>
    </fill>
    <fill>
      <patternFill patternType="solid">
        <fgColor rgb="FFFFCC00"/>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medium">
        <color indexed="1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10"/>
      </top>
      <bottom style="thin">
        <color indexed="64"/>
      </bottom>
      <diagonal/>
    </border>
    <border>
      <left/>
      <right/>
      <top style="medium">
        <color indexed="10"/>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s>
  <cellStyleXfs count="372">
    <xf numFmtId="0" fontId="0" fillId="0" borderId="0"/>
    <xf numFmtId="0" fontId="10" fillId="0" borderId="0"/>
    <xf numFmtId="0" fontId="50" fillId="0" borderId="0"/>
    <xf numFmtId="0" fontId="24" fillId="0" borderId="0"/>
    <xf numFmtId="0" fontId="24" fillId="0" borderId="0"/>
    <xf numFmtId="0" fontId="50" fillId="0" borderId="0"/>
    <xf numFmtId="0" fontId="50" fillId="0" borderId="0"/>
    <xf numFmtId="0" fontId="24" fillId="0" borderId="0"/>
    <xf numFmtId="0" fontId="24" fillId="0" borderId="0"/>
    <xf numFmtId="0" fontId="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24" fillId="0" borderId="0"/>
    <xf numFmtId="0" fontId="11" fillId="0" borderId="0"/>
    <xf numFmtId="0" fontId="50" fillId="0" borderId="0"/>
    <xf numFmtId="0" fontId="24" fillId="0" borderId="0"/>
    <xf numFmtId="0" fontId="24" fillId="0" borderId="0"/>
    <xf numFmtId="0" fontId="50" fillId="0" borderId="0"/>
    <xf numFmtId="0" fontId="50" fillId="0" borderId="0"/>
    <xf numFmtId="0" fontId="24" fillId="0" borderId="0"/>
    <xf numFmtId="0" fontId="24" fillId="0" borderId="0"/>
    <xf numFmtId="0" fontId="50" fillId="0" borderId="0"/>
    <xf numFmtId="0" fontId="11" fillId="0" borderId="0"/>
    <xf numFmtId="0" fontId="24" fillId="0" borderId="0"/>
    <xf numFmtId="0" fontId="24" fillId="0" borderId="0"/>
    <xf numFmtId="0" fontId="11"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2" fontId="24" fillId="0" borderId="0" applyFill="0" applyBorder="0" applyAlignment="0" applyProtection="0"/>
    <xf numFmtId="171" fontId="24" fillId="0" borderId="0" applyFont="0" applyFill="0" applyBorder="0" applyAlignment="0" applyProtection="0"/>
    <xf numFmtId="0" fontId="1" fillId="0" borderId="0"/>
    <xf numFmtId="0" fontId="1" fillId="0" borderId="0"/>
    <xf numFmtId="2" fontId="24"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11" fillId="0" borderId="0"/>
    <xf numFmtId="0" fontId="36" fillId="30"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7" fillId="12" borderId="1" applyNumberFormat="0" applyAlignment="0" applyProtection="0"/>
    <xf numFmtId="0" fontId="37" fillId="13" borderId="1" applyNumberFormat="0" applyAlignment="0" applyProtection="0"/>
    <xf numFmtId="0" fontId="37" fillId="13" borderId="1" applyNumberFormat="0" applyAlignment="0" applyProtection="0"/>
    <xf numFmtId="0" fontId="37" fillId="12" borderId="1" applyNumberFormat="0" applyAlignment="0" applyProtection="0"/>
    <xf numFmtId="0" fontId="37" fillId="12" borderId="1" applyNumberFormat="0" applyAlignment="0" applyProtection="0"/>
    <xf numFmtId="0" fontId="38" fillId="38" borderId="2" applyNumberFormat="0" applyAlignment="0" applyProtection="0"/>
    <xf numFmtId="0" fontId="38" fillId="39" borderId="2" applyNumberFormat="0" applyAlignment="0" applyProtection="0"/>
    <xf numFmtId="0" fontId="38" fillId="39" borderId="2" applyNumberFormat="0" applyAlignment="0" applyProtection="0"/>
    <xf numFmtId="0" fontId="38" fillId="38" borderId="2" applyNumberFormat="0" applyAlignment="0" applyProtection="0"/>
    <xf numFmtId="0" fontId="38" fillId="38" borderId="2" applyNumberFormat="0" applyAlignment="0" applyProtection="0"/>
    <xf numFmtId="0" fontId="39" fillId="38" borderId="1" applyNumberFormat="0" applyAlignment="0" applyProtection="0"/>
    <xf numFmtId="0" fontId="39" fillId="39" borderId="1" applyNumberFormat="0" applyAlignment="0" applyProtection="0"/>
    <xf numFmtId="0" fontId="39" fillId="39" borderId="1" applyNumberFormat="0" applyAlignment="0" applyProtection="0"/>
    <xf numFmtId="0" fontId="39" fillId="38" borderId="1" applyNumberFormat="0" applyAlignment="0" applyProtection="0"/>
    <xf numFmtId="0" fontId="39" fillId="38" borderId="1"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5" fillId="0" borderId="0" applyNumberFormat="0" applyFill="0" applyBorder="0" applyAlignment="0" applyProtection="0"/>
    <xf numFmtId="173" fontId="24" fillId="0" borderId="0" applyFill="0" applyBorder="0" applyAlignment="0" applyProtection="0"/>
    <xf numFmtId="0" fontId="40" fillId="0" borderId="3" applyNumberFormat="0" applyFill="0" applyAlignment="0" applyProtection="0"/>
    <xf numFmtId="0" fontId="40" fillId="0" borderId="3"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2" fillId="0" borderId="0" applyNumberFormat="0" applyFill="0" applyBorder="0" applyProtection="0">
      <alignment horizontal="left"/>
    </xf>
    <xf numFmtId="0" fontId="20" fillId="0" borderId="6" applyNumberFormat="0" applyFill="0" applyAlignment="0" applyProtection="0"/>
    <xf numFmtId="0" fontId="20" fillId="0" borderId="6" applyNumberFormat="0" applyFill="0" applyAlignment="0" applyProtection="0"/>
    <xf numFmtId="0" fontId="12" fillId="0" borderId="0" applyNumberFormat="0" applyFill="0" applyBorder="0" applyProtection="0">
      <alignment horizontal="left"/>
    </xf>
    <xf numFmtId="0" fontId="43" fillId="40" borderId="7" applyNumberFormat="0" applyAlignment="0" applyProtection="0"/>
    <xf numFmtId="0" fontId="43" fillId="41" borderId="7" applyNumberFormat="0" applyAlignment="0" applyProtection="0"/>
    <xf numFmtId="0" fontId="43" fillId="41" borderId="7" applyNumberFormat="0" applyAlignment="0" applyProtection="0"/>
    <xf numFmtId="0" fontId="43" fillId="40" borderId="7" applyNumberFormat="0" applyAlignment="0" applyProtection="0"/>
    <xf numFmtId="0" fontId="43" fillId="40" borderId="7"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 fillId="0" borderId="0"/>
    <xf numFmtId="0" fontId="1" fillId="0" borderId="0"/>
    <xf numFmtId="0" fontId="54" fillId="0" borderId="0"/>
    <xf numFmtId="0" fontId="16" fillId="0" borderId="0"/>
    <xf numFmtId="0" fontId="4" fillId="0" borderId="0"/>
    <xf numFmtId="0" fontId="54" fillId="0" borderId="0"/>
    <xf numFmtId="0" fontId="54" fillId="0" borderId="0"/>
    <xf numFmtId="0" fontId="54" fillId="0" borderId="0"/>
    <xf numFmtId="0" fontId="24" fillId="0" borderId="0"/>
    <xf numFmtId="0" fontId="54" fillId="0" borderId="0"/>
    <xf numFmtId="0" fontId="54" fillId="0" borderId="0"/>
    <xf numFmtId="0" fontId="54" fillId="0" borderId="0"/>
    <xf numFmtId="0" fontId="54" fillId="0" borderId="0"/>
    <xf numFmtId="0" fontId="54" fillId="0" borderId="0"/>
    <xf numFmtId="0" fontId="4" fillId="0" borderId="0"/>
    <xf numFmtId="0" fontId="16" fillId="0" borderId="0"/>
    <xf numFmtId="0" fontId="24" fillId="0" borderId="0"/>
    <xf numFmtId="0" fontId="16" fillId="0" borderId="0"/>
    <xf numFmtId="0" fontId="4" fillId="0" borderId="0"/>
    <xf numFmtId="0"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2" fillId="0" borderId="0"/>
    <xf numFmtId="0" fontId="12" fillId="0" borderId="0"/>
    <xf numFmtId="0" fontId="54" fillId="0" borderId="0"/>
    <xf numFmtId="0" fontId="4" fillId="0" borderId="0"/>
    <xf numFmtId="0" fontId="16" fillId="0" borderId="0"/>
    <xf numFmtId="0" fontId="16" fillId="0" borderId="0"/>
    <xf numFmtId="0" fontId="4" fillId="0" borderId="0"/>
    <xf numFmtId="0" fontId="1" fillId="0" borderId="0"/>
    <xf numFmtId="0" fontId="24" fillId="0" borderId="0"/>
    <xf numFmtId="0" fontId="54" fillId="0" borderId="0"/>
    <xf numFmtId="0" fontId="24" fillId="0" borderId="0"/>
    <xf numFmtId="0" fontId="1" fillId="0" borderId="0"/>
    <xf numFmtId="0" fontId="16"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6" fillId="4"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 fillId="44" borderId="8" applyNumberFormat="0" applyFont="0" applyAlignment="0" applyProtection="0"/>
    <xf numFmtId="0" fontId="24" fillId="45" borderId="8" applyNumberFormat="0" applyAlignment="0" applyProtection="0"/>
    <xf numFmtId="0" fontId="24" fillId="45" borderId="8" applyNumberFormat="0" applyAlignment="0" applyProtection="0"/>
    <xf numFmtId="0" fontId="4" fillId="44" borderId="8" applyNumberFormat="0" applyFont="0" applyAlignment="0" applyProtection="0"/>
    <xf numFmtId="0" fontId="4" fillId="44" borderId="8" applyNumberFormat="0" applyFont="0" applyAlignment="0" applyProtection="0"/>
    <xf numFmtId="9" fontId="4" fillId="0" borderId="0" applyFont="0" applyFill="0" applyBorder="0" applyAlignment="0" applyProtection="0"/>
    <xf numFmtId="9" fontId="24" fillId="0" borderId="0" applyFill="0" applyBorder="0" applyAlignment="0" applyProtection="0"/>
    <xf numFmtId="9" fontId="2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ill="0" applyBorder="0" applyAlignment="0" applyProtection="0"/>
    <xf numFmtId="9" fontId="24" fillId="0" borderId="0" applyFill="0" applyBorder="0" applyAlignment="0" applyProtection="0"/>
    <xf numFmtId="9" fontId="4" fillId="0" borderId="0" applyFont="0" applyFill="0" applyBorder="0" applyAlignment="0" applyProtection="0"/>
    <xf numFmtId="9" fontId="24" fillId="0" borderId="0" applyFill="0" applyBorder="0" applyAlignment="0" applyProtection="0"/>
    <xf numFmtId="9" fontId="24" fillId="0" borderId="0" applyFill="0" applyBorder="0" applyAlignment="0" applyProtection="0"/>
    <xf numFmtId="9" fontId="4" fillId="0" borderId="0" applyFont="0" applyFill="0" applyBorder="0" applyAlignment="0" applyProtection="0"/>
    <xf numFmtId="9" fontId="24" fillId="0" borderId="0" applyFill="0" applyBorder="0" applyAlignment="0" applyProtection="0"/>
    <xf numFmtId="9" fontId="24" fillId="0" borderId="0" applyFill="0" applyBorder="0" applyAlignment="0" applyProtection="0"/>
    <xf numFmtId="0" fontId="48" fillId="0" borderId="9" applyNumberFormat="0" applyFill="0" applyAlignment="0" applyProtection="0"/>
    <xf numFmtId="0" fontId="48" fillId="0" borderId="9" applyNumberFormat="0" applyFill="0" applyAlignment="0" applyProtection="0"/>
    <xf numFmtId="0" fontId="10" fillId="0" borderId="0"/>
    <xf numFmtId="0" fontId="33" fillId="0" borderId="0" applyNumberFormat="0" applyFill="0" applyBorder="0" applyAlignment="0" applyProtection="0"/>
    <xf numFmtId="0" fontId="33" fillId="0" borderId="0" applyNumberForma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24" fillId="0" borderId="0" applyFill="0" applyBorder="0" applyAlignment="0" applyProtection="0"/>
    <xf numFmtId="175" fontId="4" fillId="0" borderId="0" applyFont="0" applyFill="0" applyBorder="0" applyAlignment="0" applyProtection="0"/>
    <xf numFmtId="164" fontId="35" fillId="0" borderId="0" applyFont="0" applyFill="0" applyBorder="0" applyAlignment="0" applyProtection="0"/>
    <xf numFmtId="174" fontId="24" fillId="0" borderId="0" applyFill="0" applyBorder="0" applyAlignment="0" applyProtection="0"/>
    <xf numFmtId="175" fontId="4" fillId="0" borderId="0" applyFont="0" applyFill="0" applyBorder="0" applyAlignment="0" applyProtection="0"/>
    <xf numFmtId="164" fontId="1"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64" fontId="4" fillId="0" borderId="0" applyFont="0" applyFill="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cellStyleXfs>
  <cellXfs count="1220">
    <xf numFmtId="0" fontId="0" fillId="0" borderId="0" xfId="0"/>
    <xf numFmtId="0" fontId="2" fillId="0" borderId="0" xfId="0" applyFont="1"/>
    <xf numFmtId="0" fontId="2" fillId="0" borderId="0" xfId="0" applyFont="1" applyFill="1" applyAlignment="1">
      <alignment horizontal="center" vertical="center"/>
    </xf>
    <xf numFmtId="0" fontId="4" fillId="0" borderId="0" xfId="0" applyFont="1" applyAlignment="1">
      <alignment horizontal="right" vertical="center"/>
    </xf>
    <xf numFmtId="0" fontId="2" fillId="0" borderId="0" xfId="0" applyFont="1" applyAlignment="1">
      <alignment vertical="center"/>
    </xf>
    <xf numFmtId="0" fontId="2" fillId="0" borderId="0" xfId="0" applyFont="1" applyBorder="1" applyAlignment="1">
      <alignment horizontal="center" vertical="center"/>
    </xf>
    <xf numFmtId="14" fontId="2" fillId="0" borderId="0" xfId="0" applyNumberFormat="1" applyFont="1" applyAlignment="1">
      <alignment horizontal="center"/>
    </xf>
    <xf numFmtId="0" fontId="4" fillId="0" borderId="10" xfId="0" applyFont="1" applyBorder="1" applyAlignment="1">
      <alignment horizontal="center" vertical="center"/>
    </xf>
    <xf numFmtId="0" fontId="4" fillId="0" borderId="0" xfId="0" applyFont="1"/>
    <xf numFmtId="0" fontId="4" fillId="0" borderId="0" xfId="0" applyFont="1" applyAlignment="1">
      <alignment vertical="center"/>
    </xf>
    <xf numFmtId="0" fontId="4" fillId="0" borderId="0" xfId="0" applyFont="1" applyFill="1"/>
    <xf numFmtId="0" fontId="4" fillId="0" borderId="0" xfId="0" applyFont="1" applyBorder="1" applyAlignment="1">
      <alignment vertical="center"/>
    </xf>
    <xf numFmtId="14" fontId="14" fillId="0" borderId="0" xfId="0" applyNumberFormat="1" applyFont="1" applyBorder="1" applyAlignment="1"/>
    <xf numFmtId="0" fontId="4" fillId="46" borderId="11"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46" borderId="1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46" borderId="1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46" borderId="14" xfId="0" applyFont="1" applyFill="1" applyBorder="1" applyAlignment="1">
      <alignment horizontal="center" vertical="center"/>
    </xf>
    <xf numFmtId="0" fontId="4" fillId="46" borderId="15"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46" borderId="16"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46" borderId="16" xfId="0" applyFont="1" applyFill="1" applyBorder="1" applyAlignment="1">
      <alignment horizontal="center" vertical="center"/>
    </xf>
    <xf numFmtId="0" fontId="4" fillId="0" borderId="16" xfId="0" applyFont="1" applyFill="1" applyBorder="1" applyAlignment="1">
      <alignment horizontal="center" vertical="center" wrapText="1"/>
    </xf>
    <xf numFmtId="0" fontId="14" fillId="46" borderId="12" xfId="0" applyFont="1" applyFill="1" applyBorder="1" applyAlignment="1">
      <alignment vertical="center"/>
    </xf>
    <xf numFmtId="0" fontId="14" fillId="46" borderId="17" xfId="0" applyFont="1" applyFill="1" applyBorder="1" applyAlignment="1">
      <alignment vertical="center"/>
    </xf>
    <xf numFmtId="0" fontId="14" fillId="46" borderId="18" xfId="0" applyFont="1" applyFill="1" applyBorder="1" applyAlignment="1">
      <alignment vertical="center"/>
    </xf>
    <xf numFmtId="0" fontId="14" fillId="0" borderId="10" xfId="0" applyFont="1" applyFill="1" applyBorder="1" applyAlignment="1">
      <alignment horizontal="left" vertical="center"/>
    </xf>
    <xf numFmtId="0" fontId="4" fillId="0" borderId="10"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46" borderId="10" xfId="0" applyFont="1" applyFill="1" applyBorder="1" applyAlignment="1">
      <alignment horizontal="center" vertical="center"/>
    </xf>
    <xf numFmtId="0" fontId="4" fillId="46" borderId="10" xfId="0" applyNumberFormat="1" applyFont="1" applyFill="1" applyBorder="1" applyAlignment="1">
      <alignment horizontal="center" vertical="center"/>
    </xf>
    <xf numFmtId="1" fontId="4" fillId="46" borderId="10" xfId="0" applyNumberFormat="1" applyFont="1" applyFill="1" applyBorder="1" applyAlignment="1">
      <alignment horizontal="center" vertical="center"/>
    </xf>
    <xf numFmtId="0" fontId="4" fillId="0" borderId="0" xfId="0" applyFont="1" applyBorder="1"/>
    <xf numFmtId="0" fontId="14" fillId="0" borderId="10" xfId="0" applyFont="1" applyFill="1" applyBorder="1" applyAlignment="1">
      <alignment vertical="center"/>
    </xf>
    <xf numFmtId="0" fontId="4" fillId="0" borderId="16" xfId="0" applyNumberFormat="1" applyFont="1" applyFill="1" applyBorder="1" applyAlignment="1">
      <alignment horizontal="center" vertical="center"/>
    </xf>
    <xf numFmtId="0" fontId="14" fillId="46" borderId="10" xfId="0" applyFont="1" applyFill="1" applyBorder="1" applyAlignment="1">
      <alignment horizontal="center" vertical="center" wrapText="1"/>
    </xf>
    <xf numFmtId="0" fontId="1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14" fillId="39" borderId="1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NumberFormat="1" applyFont="1" applyFill="1" applyBorder="1" applyAlignment="1">
      <alignment horizontal="center" vertical="center"/>
    </xf>
    <xf numFmtId="0" fontId="14" fillId="39" borderId="1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Border="1" applyAlignment="1">
      <alignment horizontal="center" vertical="center" wrapText="1"/>
    </xf>
    <xf numFmtId="0" fontId="4" fillId="46" borderId="10" xfId="0" applyFont="1" applyFill="1" applyBorder="1" applyAlignment="1">
      <alignment horizontal="center" vertical="center" wrapText="1"/>
    </xf>
    <xf numFmtId="0" fontId="4" fillId="47" borderId="15" xfId="0" applyFont="1" applyFill="1" applyBorder="1" applyAlignment="1">
      <alignment horizontal="center" vertical="center"/>
    </xf>
    <xf numFmtId="0" fontId="4" fillId="46" borderId="10"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14" fillId="0" borderId="0" xfId="0" applyFont="1" applyFill="1" applyBorder="1" applyAlignment="1">
      <alignment vertical="center"/>
    </xf>
    <xf numFmtId="0" fontId="4" fillId="0" borderId="0" xfId="0" applyNumberFormat="1" applyFont="1" applyFill="1" applyBorder="1" applyAlignment="1">
      <alignment horizontal="center" vertical="center" wrapText="1"/>
    </xf>
    <xf numFmtId="0" fontId="14" fillId="0" borderId="10" xfId="0" applyFont="1" applyFill="1" applyBorder="1" applyAlignment="1">
      <alignment horizontal="center" vertical="center" wrapText="1"/>
    </xf>
    <xf numFmtId="0" fontId="4" fillId="46" borderId="16" xfId="0" applyNumberFormat="1" applyFont="1" applyFill="1" applyBorder="1" applyAlignment="1">
      <alignment horizontal="center" vertical="center"/>
    </xf>
    <xf numFmtId="0" fontId="4" fillId="0" borderId="0" xfId="0" applyFont="1" applyFill="1" applyBorder="1"/>
    <xf numFmtId="0" fontId="4" fillId="47" borderId="11" xfId="0" applyFont="1" applyFill="1" applyBorder="1" applyAlignment="1">
      <alignment horizontal="center" vertical="center" wrapText="1"/>
    </xf>
    <xf numFmtId="0" fontId="4" fillId="46" borderId="19" xfId="0" applyFont="1" applyFill="1" applyBorder="1" applyAlignment="1">
      <alignment horizontal="center" vertical="center" wrapText="1"/>
    </xf>
    <xf numFmtId="0" fontId="4" fillId="47" borderId="16" xfId="0" applyFont="1" applyFill="1" applyBorder="1" applyAlignment="1">
      <alignment horizontal="center" vertical="center" wrapText="1"/>
    </xf>
    <xf numFmtId="2" fontId="4" fillId="0" borderId="10" xfId="0" applyNumberFormat="1" applyFont="1" applyFill="1" applyBorder="1" applyAlignment="1">
      <alignment horizontal="center" vertical="center"/>
    </xf>
    <xf numFmtId="0" fontId="14" fillId="0" borderId="10" xfId="0" applyFont="1" applyBorder="1" applyAlignment="1">
      <alignment vertical="center"/>
    </xf>
    <xf numFmtId="2" fontId="4" fillId="0" borderId="12" xfId="0" applyNumberFormat="1" applyFont="1" applyFill="1" applyBorder="1" applyAlignment="1">
      <alignment horizontal="center" vertical="center"/>
    </xf>
    <xf numFmtId="0" fontId="14" fillId="46" borderId="10" xfId="0" applyFont="1" applyFill="1" applyBorder="1" applyAlignment="1">
      <alignment horizontal="center" vertical="center"/>
    </xf>
    <xf numFmtId="0" fontId="4" fillId="0" borderId="0" xfId="0" applyFont="1" applyBorder="1" applyAlignment="1"/>
    <xf numFmtId="0" fontId="4" fillId="0" borderId="10" xfId="0" applyFont="1" applyFill="1" applyBorder="1" applyAlignment="1">
      <alignment vertical="center" wrapText="1"/>
    </xf>
    <xf numFmtId="0" fontId="4" fillId="0" borderId="0" xfId="0" applyFont="1" applyFill="1" applyAlignment="1">
      <alignment vertical="center"/>
    </xf>
    <xf numFmtId="0" fontId="14"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0" xfId="0" applyFont="1" applyBorder="1"/>
    <xf numFmtId="0" fontId="4" fillId="47" borderId="11" xfId="0" applyFont="1" applyFill="1" applyBorder="1" applyAlignment="1">
      <alignment horizontal="center" vertical="center"/>
    </xf>
    <xf numFmtId="0" fontId="4" fillId="47" borderId="15" xfId="0" applyFont="1" applyFill="1" applyBorder="1" applyAlignment="1">
      <alignment horizontal="center" vertical="center" wrapText="1"/>
    </xf>
    <xf numFmtId="1" fontId="4" fillId="49" borderId="10" xfId="0" applyNumberFormat="1" applyFont="1" applyFill="1" applyBorder="1" applyAlignment="1">
      <alignment horizontal="center" vertical="center"/>
    </xf>
    <xf numFmtId="0" fontId="2" fillId="0" borderId="0" xfId="0" applyFont="1" applyFill="1"/>
    <xf numFmtId="0" fontId="4" fillId="0" borderId="20" xfId="0" applyFont="1" applyFill="1" applyBorder="1" applyAlignment="1">
      <alignment vertical="center" wrapText="1"/>
    </xf>
    <xf numFmtId="0" fontId="7" fillId="0" borderId="21" xfId="0" applyFont="1" applyBorder="1" applyAlignment="1">
      <alignment wrapText="1"/>
    </xf>
    <xf numFmtId="0" fontId="4" fillId="0" borderId="21" xfId="0" applyFont="1" applyBorder="1" applyAlignment="1">
      <alignment horizontal="right" vertical="top"/>
    </xf>
    <xf numFmtId="0" fontId="7" fillId="0" borderId="21" xfId="0" applyFont="1" applyBorder="1" applyAlignment="1">
      <alignment vertical="center"/>
    </xf>
    <xf numFmtId="0" fontId="2" fillId="0" borderId="21" xfId="0" applyFont="1" applyBorder="1" applyAlignment="1">
      <alignment horizontal="right" vertical="center"/>
    </xf>
    <xf numFmtId="0" fontId="4" fillId="0" borderId="21" xfId="0" applyFont="1" applyBorder="1" applyAlignment="1">
      <alignment horizontal="right" vertical="center"/>
    </xf>
    <xf numFmtId="0" fontId="4" fillId="46" borderId="15" xfId="0" applyFont="1" applyFill="1" applyBorder="1" applyAlignment="1">
      <alignment horizontal="center" vertical="center" wrapText="1"/>
    </xf>
    <xf numFmtId="0" fontId="14" fillId="46" borderId="10" xfId="0" applyFont="1" applyFill="1" applyBorder="1" applyAlignment="1" applyProtection="1">
      <alignment horizontal="center" vertical="center" wrapText="1"/>
      <protection locked="0"/>
    </xf>
    <xf numFmtId="0" fontId="14" fillId="39" borderId="10" xfId="0" applyFont="1" applyFill="1" applyBorder="1" applyAlignment="1">
      <alignment vertical="center"/>
    </xf>
    <xf numFmtId="0" fontId="2" fillId="0" borderId="0" xfId="0" applyFont="1" applyAlignment="1">
      <alignment vertical="center" wrapText="1"/>
    </xf>
    <xf numFmtId="0" fontId="4" fillId="0" borderId="0" xfId="0" applyFont="1" applyFill="1" applyBorder="1" applyAlignment="1">
      <alignment textRotation="90"/>
    </xf>
    <xf numFmtId="0" fontId="4" fillId="0" borderId="11" xfId="0" applyNumberFormat="1" applyFont="1" applyFill="1" applyBorder="1" applyAlignment="1">
      <alignment horizontal="center"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xf>
    <xf numFmtId="0" fontId="4" fillId="0" borderId="22" xfId="0" applyFont="1" applyFill="1" applyBorder="1" applyAlignment="1">
      <alignment vertical="center"/>
    </xf>
    <xf numFmtId="0" fontId="4" fillId="0" borderId="23" xfId="0" applyFont="1" applyFill="1" applyBorder="1" applyAlignment="1">
      <alignment vertical="center"/>
    </xf>
    <xf numFmtId="0" fontId="4" fillId="0" borderId="24" xfId="0" applyFont="1" applyFill="1" applyBorder="1" applyAlignment="1">
      <alignment vertical="center" wrapText="1"/>
    </xf>
    <xf numFmtId="1" fontId="4" fillId="0" borderId="23" xfId="0" applyNumberFormat="1" applyFont="1" applyFill="1" applyBorder="1" applyAlignment="1">
      <alignment horizontal="left" vertical="center"/>
    </xf>
    <xf numFmtId="14" fontId="14" fillId="0" borderId="0" xfId="0" applyNumberFormat="1" applyFont="1" applyBorder="1" applyAlignment="1">
      <alignment horizontal="center"/>
    </xf>
    <xf numFmtId="0" fontId="4" fillId="0" borderId="0" xfId="0" applyFont="1" applyFill="1" applyAlignment="1">
      <alignment horizontal="left"/>
    </xf>
    <xf numFmtId="0" fontId="14" fillId="0" borderId="0" xfId="0" applyFont="1" applyFill="1" applyBorder="1" applyAlignment="1"/>
    <xf numFmtId="0" fontId="0" fillId="0" borderId="0" xfId="0" applyBorder="1"/>
    <xf numFmtId="0" fontId="4" fillId="0" borderId="10" xfId="0" applyFont="1" applyBorder="1" applyAlignment="1">
      <alignment horizontal="center" vertical="center" wrapText="1"/>
    </xf>
    <xf numFmtId="0" fontId="4" fillId="0" borderId="10" xfId="0"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0" xfId="0" applyFont="1" applyFill="1" applyBorder="1" applyAlignment="1">
      <alignment horizontal="center"/>
    </xf>
    <xf numFmtId="0" fontId="4" fillId="0" borderId="10" xfId="0" applyFont="1" applyFill="1" applyBorder="1" applyAlignment="1">
      <alignment horizontal="center"/>
    </xf>
    <xf numFmtId="14" fontId="4" fillId="0" borderId="21" xfId="0" applyNumberFormat="1" applyFont="1" applyBorder="1" applyAlignment="1">
      <alignment horizontal="center" vertical="center"/>
    </xf>
    <xf numFmtId="14" fontId="2" fillId="0" borderId="21" xfId="0" applyNumberFormat="1" applyFont="1" applyBorder="1" applyAlignment="1">
      <alignment horizontal="center" vertical="center"/>
    </xf>
    <xf numFmtId="0" fontId="14" fillId="0" borderId="10" xfId="0" applyFont="1" applyFill="1" applyBorder="1" applyAlignment="1">
      <alignment horizontal="center" vertical="center"/>
    </xf>
    <xf numFmtId="0" fontId="4" fillId="0" borderId="11" xfId="0" applyFont="1" applyBorder="1" applyAlignment="1">
      <alignment horizontal="center" vertical="center" wrapText="1"/>
    </xf>
    <xf numFmtId="0" fontId="4" fillId="0" borderId="10" xfId="0" applyFont="1" applyBorder="1"/>
    <xf numFmtId="0" fontId="14" fillId="0" borderId="0" xfId="0" applyFont="1" applyAlignment="1">
      <alignment vertical="center"/>
    </xf>
    <xf numFmtId="0" fontId="7" fillId="0" borderId="21" xfId="0" applyFont="1" applyBorder="1" applyAlignment="1"/>
    <xf numFmtId="2" fontId="4" fillId="0" borderId="10" xfId="0" applyNumberFormat="1" applyFont="1" applyFill="1" applyBorder="1" applyAlignment="1">
      <alignment horizontal="center" vertical="center" wrapText="1"/>
    </xf>
    <xf numFmtId="2" fontId="4" fillId="0" borderId="16" xfId="0" applyNumberFormat="1" applyFont="1" applyFill="1" applyBorder="1" applyAlignment="1">
      <alignment horizontal="center" vertical="center" wrapText="1"/>
    </xf>
    <xf numFmtId="2" fontId="4" fillId="0" borderId="0" xfId="0" applyNumberFormat="1" applyFont="1" applyFill="1" applyBorder="1" applyAlignment="1">
      <alignment horizontal="center" vertical="center"/>
    </xf>
    <xf numFmtId="0" fontId="7" fillId="0" borderId="21" xfId="0" applyFont="1" applyBorder="1" applyAlignment="1" applyProtection="1">
      <protection hidden="1"/>
    </xf>
    <xf numFmtId="0" fontId="4" fillId="0" borderId="21" xfId="0" applyFont="1" applyBorder="1" applyAlignment="1">
      <alignment horizontal="right"/>
    </xf>
    <xf numFmtId="1" fontId="21" fillId="0" borderId="28" xfId="239" applyNumberFormat="1" applyFont="1" applyFill="1" applyBorder="1" applyAlignment="1" applyProtection="1">
      <alignment horizontal="center" vertical="center" wrapText="1"/>
    </xf>
    <xf numFmtId="1" fontId="4" fillId="0" borderId="28" xfId="0" applyNumberFormat="1" applyFont="1" applyFill="1" applyBorder="1" applyAlignment="1">
      <alignment horizontal="right" vertical="center"/>
    </xf>
    <xf numFmtId="14" fontId="14" fillId="0" borderId="28" xfId="0" applyNumberFormat="1" applyFont="1" applyFill="1" applyBorder="1" applyAlignment="1">
      <alignment horizontal="center"/>
    </xf>
    <xf numFmtId="0" fontId="14" fillId="0" borderId="10" xfId="0" applyFont="1" applyFill="1" applyBorder="1" applyAlignment="1" applyProtection="1">
      <alignment horizontal="center" vertical="center" wrapText="1"/>
      <protection hidden="1"/>
    </xf>
    <xf numFmtId="0" fontId="0" fillId="0" borderId="0" xfId="0" applyFill="1" applyBorder="1"/>
    <xf numFmtId="0" fontId="4" fillId="0" borderId="10" xfId="0" applyFont="1" applyFill="1" applyBorder="1" applyAlignment="1" applyProtection="1">
      <alignment horizontal="center" vertical="center" wrapText="1"/>
      <protection hidden="1"/>
    </xf>
    <xf numFmtId="1" fontId="21" fillId="0" borderId="0" xfId="239" applyNumberFormat="1" applyFont="1" applyFill="1" applyBorder="1" applyAlignment="1" applyProtection="1">
      <alignment horizontal="center" vertical="center" wrapText="1"/>
    </xf>
    <xf numFmtId="0" fontId="4" fillId="0" borderId="0" xfId="0" applyFont="1" applyBorder="1" applyAlignment="1">
      <alignment horizontal="right"/>
    </xf>
    <xf numFmtId="0" fontId="0" fillId="0" borderId="0" xfId="0" applyFill="1"/>
    <xf numFmtId="0" fontId="14" fillId="39" borderId="10" xfId="0" applyFont="1" applyFill="1" applyBorder="1" applyAlignment="1" applyProtection="1">
      <alignment horizontal="center" vertical="center" wrapText="1"/>
      <protection hidden="1"/>
    </xf>
    <xf numFmtId="0" fontId="14" fillId="39" borderId="10" xfId="0" applyNumberFormat="1" applyFont="1" applyFill="1" applyBorder="1" applyAlignment="1" applyProtection="1">
      <alignment horizontal="center" vertical="center" wrapText="1"/>
      <protection hidden="1"/>
    </xf>
    <xf numFmtId="3" fontId="14" fillId="39" borderId="10" xfId="0" applyNumberFormat="1" applyFont="1" applyFill="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14" fillId="0" borderId="10" xfId="0" applyFont="1" applyFill="1" applyBorder="1" applyAlignment="1" applyProtection="1">
      <alignment horizontal="left" vertical="center" wrapText="1"/>
      <protection hidden="1"/>
    </xf>
    <xf numFmtId="165" fontId="2" fillId="0" borderId="10" xfId="0" applyNumberFormat="1" applyFont="1" applyFill="1" applyBorder="1" applyAlignment="1" applyProtection="1">
      <alignment horizontal="center" vertical="center"/>
      <protection hidden="1"/>
    </xf>
    <xf numFmtId="2" fontId="2" fillId="0" borderId="10" xfId="0" applyNumberFormat="1" applyFont="1" applyFill="1" applyBorder="1" applyAlignment="1" applyProtection="1">
      <alignment horizontal="center" vertical="center"/>
      <protection hidden="1"/>
    </xf>
    <xf numFmtId="4" fontId="2" fillId="0" borderId="10" xfId="0" applyNumberFormat="1" applyFont="1" applyFill="1" applyBorder="1" applyAlignment="1" applyProtection="1">
      <alignment horizontal="center" vertical="center"/>
      <protection hidden="1"/>
    </xf>
    <xf numFmtId="0" fontId="2" fillId="0" borderId="10" xfId="0" applyNumberFormat="1" applyFont="1" applyFill="1" applyBorder="1" applyAlignment="1" applyProtection="1">
      <alignment horizontal="center" vertical="center" wrapText="1"/>
      <protection hidden="1"/>
    </xf>
    <xf numFmtId="0" fontId="2" fillId="0" borderId="0" xfId="0" applyFont="1" applyFill="1" applyBorder="1"/>
    <xf numFmtId="0" fontId="2" fillId="0" borderId="10" xfId="0" applyFont="1" applyFill="1" applyBorder="1" applyAlignment="1" applyProtection="1">
      <alignment vertical="center"/>
      <protection hidden="1"/>
    </xf>
    <xf numFmtId="0" fontId="2" fillId="0" borderId="10" xfId="0" applyFont="1" applyFill="1" applyBorder="1" applyAlignment="1" applyProtection="1">
      <alignment horizontal="center" vertical="center" wrapText="1"/>
      <protection hidden="1"/>
    </xf>
    <xf numFmtId="0" fontId="0" fillId="0" borderId="10" xfId="0" applyFill="1" applyBorder="1" applyAlignment="1">
      <alignment horizontal="center" vertical="center"/>
    </xf>
    <xf numFmtId="2" fontId="2" fillId="0" borderId="10" xfId="0" applyNumberFormat="1" applyFont="1" applyFill="1" applyBorder="1" applyAlignment="1" applyProtection="1">
      <alignment horizontal="center" vertical="center" wrapText="1"/>
      <protection hidden="1"/>
    </xf>
    <xf numFmtId="0" fontId="22" fillId="0" borderId="10" xfId="0" applyFont="1" applyBorder="1" applyAlignment="1"/>
    <xf numFmtId="2" fontId="2" fillId="0" borderId="11" xfId="0" applyNumberFormat="1" applyFont="1" applyFill="1" applyBorder="1" applyAlignment="1" applyProtection="1">
      <alignment horizontal="center" vertical="center"/>
      <protection hidden="1"/>
    </xf>
    <xf numFmtId="0" fontId="2" fillId="0" borderId="11" xfId="0" applyFont="1" applyFill="1" applyBorder="1" applyAlignment="1" applyProtection="1">
      <alignment horizontal="center" vertical="center" wrapText="1"/>
      <protection hidden="1"/>
    </xf>
    <xf numFmtId="0" fontId="2" fillId="0" borderId="11" xfId="0" applyNumberFormat="1" applyFont="1" applyFill="1" applyBorder="1" applyAlignment="1" applyProtection="1">
      <alignment horizontal="center" vertical="center" wrapText="1"/>
      <protection hidden="1"/>
    </xf>
    <xf numFmtId="0" fontId="2" fillId="0" borderId="16" xfId="0" applyNumberFormat="1" applyFont="1" applyFill="1" applyBorder="1" applyAlignment="1" applyProtection="1">
      <alignment horizontal="center" vertical="center" wrapText="1"/>
      <protection hidden="1"/>
    </xf>
    <xf numFmtId="0" fontId="4" fillId="0" borderId="0" xfId="0" applyFont="1" applyFill="1" applyBorder="1" applyAlignment="1">
      <alignment horizontal="right"/>
    </xf>
    <xf numFmtId="14" fontId="14" fillId="0" borderId="0" xfId="0" applyNumberFormat="1" applyFont="1" applyFill="1" applyBorder="1" applyAlignment="1">
      <alignment horizontal="center"/>
    </xf>
    <xf numFmtId="2" fontId="14" fillId="0" borderId="10" xfId="0" applyNumberFormat="1" applyFont="1" applyBorder="1" applyAlignment="1">
      <alignment horizontal="center" vertical="center" wrapText="1"/>
    </xf>
    <xf numFmtId="0" fontId="14" fillId="0" borderId="0" xfId="0" applyFont="1" applyBorder="1" applyAlignment="1" applyProtection="1">
      <alignment vertical="center"/>
      <protection hidden="1"/>
    </xf>
    <xf numFmtId="0" fontId="7" fillId="0" borderId="21" xfId="0" applyFont="1" applyBorder="1" applyAlignment="1">
      <alignment vertical="center" wrapText="1"/>
    </xf>
    <xf numFmtId="0" fontId="2" fillId="0" borderId="10" xfId="0" applyFont="1" applyBorder="1" applyAlignment="1">
      <alignment horizontal="left" vertical="center" wrapText="1"/>
    </xf>
    <xf numFmtId="0" fontId="2" fillId="0" borderId="10" xfId="0" applyFont="1" applyFill="1" applyBorder="1" applyAlignment="1">
      <alignment horizontal="center" vertical="center"/>
    </xf>
    <xf numFmtId="4" fontId="14" fillId="0" borderId="10" xfId="0" applyNumberFormat="1" applyFont="1" applyFill="1" applyBorder="1" applyAlignment="1">
      <alignment horizontal="center" vertical="center"/>
    </xf>
    <xf numFmtId="3" fontId="4" fillId="0" borderId="10" xfId="0" applyNumberFormat="1" applyFont="1" applyFill="1" applyBorder="1" applyAlignment="1" applyProtection="1">
      <alignment horizontal="center" vertical="center" wrapText="1"/>
      <protection hidden="1"/>
    </xf>
    <xf numFmtId="10" fontId="4" fillId="0" borderId="10" xfId="0" applyNumberFormat="1" applyFont="1" applyBorder="1" applyAlignment="1">
      <alignment horizontal="center" vertical="center"/>
    </xf>
    <xf numFmtId="0" fontId="4" fillId="0" borderId="0" xfId="0" applyFont="1" applyFill="1" applyAlignment="1"/>
    <xf numFmtId="0" fontId="4" fillId="0" borderId="0" xfId="0" applyFont="1" applyBorder="1" applyAlignment="1">
      <alignment horizontal="right" vertical="center"/>
    </xf>
    <xf numFmtId="0" fontId="2" fillId="0" borderId="0" xfId="0" applyFont="1" applyFill="1" applyBorder="1" applyAlignment="1">
      <alignment horizontal="right"/>
    </xf>
    <xf numFmtId="14" fontId="9" fillId="0" borderId="0" xfId="0" applyNumberFormat="1" applyFont="1" applyFill="1" applyBorder="1" applyAlignment="1">
      <alignment horizontal="center"/>
    </xf>
    <xf numFmtId="3" fontId="4" fillId="0" borderId="10" xfId="0" applyNumberFormat="1" applyFont="1" applyFill="1" applyBorder="1" applyAlignment="1">
      <alignment horizontal="center" vertical="center"/>
    </xf>
    <xf numFmtId="0" fontId="15" fillId="0" borderId="0" xfId="0" applyFont="1"/>
    <xf numFmtId="0" fontId="4" fillId="0" borderId="0" xfId="0" applyFont="1" applyFill="1" applyBorder="1" applyAlignment="1"/>
    <xf numFmtId="0" fontId="14" fillId="0" borderId="0" xfId="0" applyNumberFormat="1" applyFont="1" applyFill="1" applyBorder="1" applyAlignment="1">
      <alignment vertical="center" wrapText="1"/>
    </xf>
    <xf numFmtId="0" fontId="4" fillId="0" borderId="28" xfId="0" applyFont="1" applyBorder="1"/>
    <xf numFmtId="0" fontId="4" fillId="0" borderId="28" xfId="0" applyFont="1" applyBorder="1" applyAlignment="1">
      <alignment horizontal="center"/>
    </xf>
    <xf numFmtId="0" fontId="4" fillId="0" borderId="28" xfId="0" applyFont="1" applyBorder="1" applyAlignment="1">
      <alignment horizontal="center" vertical="center"/>
    </xf>
    <xf numFmtId="0" fontId="2" fillId="0" borderId="10" xfId="0" applyFont="1" applyBorder="1" applyAlignment="1">
      <alignment horizontal="center" vertical="center" wrapText="1"/>
    </xf>
    <xf numFmtId="2" fontId="14" fillId="0" borderId="10" xfId="0" applyNumberFormat="1" applyFont="1" applyFill="1" applyBorder="1" applyAlignment="1">
      <alignment horizontal="center" vertical="center" wrapText="1"/>
    </xf>
    <xf numFmtId="0" fontId="14" fillId="39" borderId="10" xfId="0" applyFont="1" applyFill="1" applyBorder="1" applyAlignment="1">
      <alignment horizontal="center"/>
    </xf>
    <xf numFmtId="3" fontId="14" fillId="0" borderId="0" xfId="0" applyNumberFormat="1" applyFont="1" applyBorder="1" applyAlignment="1">
      <alignment vertical="center" wrapText="1"/>
    </xf>
    <xf numFmtId="0" fontId="4" fillId="0" borderId="0" xfId="0" applyFont="1" applyBorder="1" applyAlignment="1">
      <alignment horizontal="center"/>
    </xf>
    <xf numFmtId="0" fontId="4" fillId="0" borderId="0" xfId="0" applyFont="1" applyBorder="1" applyAlignment="1">
      <alignment vertical="center" wrapText="1"/>
    </xf>
    <xf numFmtId="4" fontId="14" fillId="0" borderId="10" xfId="0" applyNumberFormat="1" applyFont="1" applyFill="1" applyBorder="1" applyAlignment="1">
      <alignment horizontal="center" vertical="center" wrapText="1"/>
    </xf>
    <xf numFmtId="166" fontId="2" fillId="0" borderId="0" xfId="0" applyNumberFormat="1" applyFont="1" applyAlignment="1">
      <alignment horizontal="center" vertical="center"/>
    </xf>
    <xf numFmtId="14" fontId="9" fillId="0" borderId="0" xfId="0" applyNumberFormat="1" applyFont="1" applyAlignment="1">
      <alignment horizontal="center"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49" fontId="4" fillId="0" borderId="10" xfId="0" applyNumberFormat="1" applyFont="1" applyFill="1" applyBorder="1" applyAlignment="1">
      <alignment horizontal="center" vertical="center" wrapText="1"/>
    </xf>
    <xf numFmtId="2" fontId="14" fillId="0" borderId="11" xfId="0" applyNumberFormat="1" applyFont="1" applyFill="1" applyBorder="1" applyAlignment="1">
      <alignment horizontal="center" vertical="center" wrapText="1"/>
    </xf>
    <xf numFmtId="2" fontId="14" fillId="0" borderId="29" xfId="0" applyNumberFormat="1" applyFont="1" applyFill="1" applyBorder="1" applyAlignment="1">
      <alignment horizontal="center" vertical="center" wrapText="1"/>
    </xf>
    <xf numFmtId="0" fontId="9" fillId="0" borderId="0" xfId="0" applyFont="1" applyBorder="1" applyAlignment="1">
      <alignment vertical="center" wrapText="1"/>
    </xf>
    <xf numFmtId="2" fontId="14" fillId="0" borderId="0" xfId="0" applyNumberFormat="1" applyFont="1" applyFill="1" applyBorder="1" applyAlignment="1">
      <alignment vertical="center" wrapText="1"/>
    </xf>
    <xf numFmtId="4" fontId="4" fillId="0" borderId="0" xfId="0" applyNumberFormat="1" applyFont="1" applyFill="1" applyBorder="1" applyAlignment="1">
      <alignment vertical="center" wrapText="1"/>
    </xf>
    <xf numFmtId="4" fontId="9" fillId="0" borderId="0" xfId="0" applyNumberFormat="1" applyFont="1" applyFill="1" applyBorder="1" applyAlignment="1">
      <alignment vertical="center"/>
    </xf>
    <xf numFmtId="0" fontId="4" fillId="0" borderId="12" xfId="0" applyFont="1" applyFill="1" applyBorder="1" applyAlignment="1">
      <alignment horizontal="center" vertical="center"/>
    </xf>
    <xf numFmtId="14" fontId="14" fillId="0" borderId="21" xfId="0" applyNumberFormat="1" applyFont="1" applyBorder="1" applyAlignment="1">
      <alignment horizontal="center" vertical="center" wrapText="1"/>
    </xf>
    <xf numFmtId="0" fontId="2" fillId="0" borderId="28" xfId="0" applyFont="1" applyBorder="1" applyAlignment="1">
      <alignment horizontal="right" vertical="center"/>
    </xf>
    <xf numFmtId="14" fontId="14" fillId="0" borderId="28" xfId="0" applyNumberFormat="1" applyFont="1" applyBorder="1" applyAlignment="1">
      <alignment horizontal="center" vertical="center" wrapText="1"/>
    </xf>
    <xf numFmtId="0" fontId="2" fillId="0" borderId="0" xfId="0" applyFont="1" applyFill="1" applyBorder="1" applyAlignment="1">
      <alignment vertical="center"/>
    </xf>
    <xf numFmtId="0" fontId="28" fillId="46" borderId="12" xfId="0" applyNumberFormat="1" applyFont="1" applyFill="1" applyBorder="1" applyAlignment="1" applyProtection="1">
      <alignment vertical="center"/>
    </xf>
    <xf numFmtId="0" fontId="2" fillId="0" borderId="0" xfId="0" applyFont="1" applyFill="1" applyAlignment="1">
      <alignment vertical="center"/>
    </xf>
    <xf numFmtId="0" fontId="29" fillId="0" borderId="12" xfId="0" applyNumberFormat="1" applyFont="1" applyFill="1" applyBorder="1" applyAlignment="1" applyProtection="1">
      <alignment vertical="center"/>
    </xf>
    <xf numFmtId="0" fontId="0" fillId="0" borderId="10" xfId="0" applyBorder="1" applyAlignment="1">
      <alignment vertical="center"/>
    </xf>
    <xf numFmtId="0" fontId="29" fillId="0" borderId="11" xfId="0" applyNumberFormat="1" applyFont="1" applyFill="1" applyBorder="1" applyAlignment="1" applyProtection="1">
      <alignment horizontal="center" vertical="center"/>
    </xf>
    <xf numFmtId="0" fontId="29" fillId="0" borderId="10" xfId="0" applyNumberFormat="1" applyFont="1" applyFill="1" applyBorder="1" applyAlignment="1" applyProtection="1">
      <alignment horizontal="center" vertical="center"/>
    </xf>
    <xf numFmtId="0" fontId="0" fillId="47" borderId="10" xfId="0" applyFill="1" applyBorder="1" applyAlignment="1">
      <alignment vertical="center"/>
    </xf>
    <xf numFmtId="0" fontId="29" fillId="0" borderId="16" xfId="0" applyNumberFormat="1" applyFont="1" applyFill="1" applyBorder="1" applyAlignment="1" applyProtection="1">
      <alignment horizontal="left" vertical="center" wrapText="1"/>
    </xf>
    <xf numFmtId="0" fontId="29" fillId="0" borderId="10" xfId="0" applyNumberFormat="1" applyFont="1" applyFill="1" applyBorder="1" applyAlignment="1" applyProtection="1">
      <alignment vertical="center" wrapText="1"/>
    </xf>
    <xf numFmtId="0" fontId="29" fillId="0" borderId="12" xfId="0" applyNumberFormat="1" applyFont="1" applyFill="1" applyBorder="1" applyAlignment="1" applyProtection="1">
      <alignment vertical="center" wrapText="1"/>
    </xf>
    <xf numFmtId="165" fontId="29" fillId="0" borderId="10" xfId="0" applyNumberFormat="1" applyFont="1" applyFill="1" applyBorder="1" applyAlignment="1" applyProtection="1">
      <alignment horizontal="center" vertical="center"/>
    </xf>
    <xf numFmtId="2" fontId="29" fillId="0" borderId="10" xfId="0" applyNumberFormat="1" applyFont="1" applyFill="1" applyBorder="1" applyAlignment="1" applyProtection="1">
      <alignment horizontal="center" vertical="center"/>
    </xf>
    <xf numFmtId="2" fontId="29" fillId="0" borderId="10" xfId="0" applyNumberFormat="1" applyFont="1" applyFill="1" applyBorder="1" applyAlignment="1" applyProtection="1">
      <alignment horizontal="center" vertical="center" wrapText="1"/>
    </xf>
    <xf numFmtId="0" fontId="0" fillId="0" borderId="10" xfId="0" applyBorder="1" applyAlignment="1">
      <alignment vertical="center" wrapText="1"/>
    </xf>
    <xf numFmtId="2" fontId="29" fillId="0" borderId="16" xfId="0" applyNumberFormat="1" applyFont="1" applyFill="1" applyBorder="1" applyAlignment="1" applyProtection="1">
      <alignment horizontal="center" vertical="center" wrapText="1"/>
    </xf>
    <xf numFmtId="0" fontId="28" fillId="39" borderId="12" xfId="0" applyNumberFormat="1" applyFont="1" applyFill="1" applyBorder="1" applyAlignment="1" applyProtection="1">
      <alignment vertical="center"/>
    </xf>
    <xf numFmtId="0" fontId="29" fillId="46" borderId="10" xfId="0" applyNumberFormat="1" applyFont="1" applyFill="1" applyBorder="1" applyAlignment="1" applyProtection="1">
      <alignment horizontal="center" vertical="center" wrapText="1"/>
    </xf>
    <xf numFmtId="0" fontId="2" fillId="47" borderId="10" xfId="0" applyFont="1" applyFill="1" applyBorder="1" applyAlignment="1">
      <alignment horizontal="center" vertical="center" wrapText="1"/>
    </xf>
    <xf numFmtId="0" fontId="29" fillId="0" borderId="11" xfId="0" applyNumberFormat="1" applyFont="1" applyFill="1" applyBorder="1" applyAlignment="1" applyProtection="1">
      <alignment vertical="center" wrapText="1"/>
    </xf>
    <xf numFmtId="0" fontId="29" fillId="0" borderId="10" xfId="0" applyNumberFormat="1" applyFont="1" applyFill="1" applyBorder="1" applyAlignment="1" applyProtection="1">
      <alignment horizontal="center" vertical="center" wrapText="1"/>
    </xf>
    <xf numFmtId="2" fontId="29" fillId="0" borderId="11" xfId="0" applyNumberFormat="1" applyFont="1" applyFill="1" applyBorder="1" applyAlignment="1" applyProtection="1">
      <alignment horizontal="center" vertical="center"/>
    </xf>
    <xf numFmtId="0" fontId="4" fillId="0" borderId="10" xfId="0" applyFont="1" applyFill="1" applyBorder="1" applyAlignment="1">
      <alignment vertical="center"/>
    </xf>
    <xf numFmtId="0" fontId="29" fillId="0" borderId="18" xfId="0" applyNumberFormat="1" applyFont="1" applyFill="1" applyBorder="1" applyAlignment="1" applyProtection="1">
      <alignment vertical="center" wrapText="1"/>
    </xf>
    <xf numFmtId="0" fontId="29" fillId="0" borderId="10" xfId="0" applyNumberFormat="1" applyFont="1" applyFill="1" applyBorder="1" applyAlignment="1" applyProtection="1">
      <alignment vertical="center"/>
    </xf>
    <xf numFmtId="0" fontId="29" fillId="0" borderId="30" xfId="0" applyNumberFormat="1" applyFont="1" applyFill="1" applyBorder="1" applyAlignment="1" applyProtection="1">
      <alignment vertical="center" wrapText="1"/>
    </xf>
    <xf numFmtId="2" fontId="30" fillId="47" borderId="11" xfId="0" applyNumberFormat="1" applyFont="1" applyFill="1" applyBorder="1" applyAlignment="1" applyProtection="1">
      <alignment horizontal="center" vertical="center"/>
    </xf>
    <xf numFmtId="0" fontId="30" fillId="47" borderId="11"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vertical="center" wrapText="1"/>
    </xf>
    <xf numFmtId="0" fontId="2" fillId="0" borderId="12" xfId="0" applyFont="1" applyFill="1" applyBorder="1" applyAlignment="1">
      <alignment horizontal="center" vertical="center"/>
    </xf>
    <xf numFmtId="2" fontId="30" fillId="0" borderId="10" xfId="0" applyNumberFormat="1" applyFont="1" applyFill="1" applyBorder="1" applyAlignment="1" applyProtection="1">
      <alignment horizontal="center" vertical="center"/>
    </xf>
    <xf numFmtId="0" fontId="30" fillId="0" borderId="10" xfId="0" applyNumberFormat="1" applyFont="1" applyFill="1" applyBorder="1" applyAlignment="1" applyProtection="1">
      <alignment horizontal="center" vertical="center" wrapText="1"/>
    </xf>
    <xf numFmtId="0" fontId="14" fillId="39" borderId="10" xfId="0" applyFont="1" applyFill="1" applyBorder="1" applyAlignment="1">
      <alignment vertical="center" wrapText="1"/>
    </xf>
    <xf numFmtId="0" fontId="4" fillId="0" borderId="10" xfId="0" applyFont="1" applyBorder="1" applyAlignment="1">
      <alignment vertical="center"/>
    </xf>
    <xf numFmtId="0" fontId="4" fillId="47" borderId="14" xfId="0" applyFont="1" applyFill="1" applyBorder="1" applyAlignment="1">
      <alignment horizontal="center" vertical="center"/>
    </xf>
    <xf numFmtId="4" fontId="14" fillId="0" borderId="0" xfId="0" applyNumberFormat="1" applyFont="1" applyFill="1" applyBorder="1" applyAlignment="1">
      <alignment horizontal="center" vertical="center"/>
    </xf>
    <xf numFmtId="0" fontId="4" fillId="0" borderId="0" xfId="0" applyFont="1" applyBorder="1" applyAlignment="1">
      <alignment horizontal="left" vertical="center"/>
    </xf>
    <xf numFmtId="0" fontId="2" fillId="0" borderId="0" xfId="0" applyFont="1" applyFill="1" applyBorder="1" applyAlignment="1">
      <alignment horizontal="center" vertical="center" wrapText="1"/>
    </xf>
    <xf numFmtId="10" fontId="4" fillId="0" borderId="0" xfId="0" applyNumberFormat="1" applyFont="1" applyFill="1" applyBorder="1" applyAlignment="1">
      <alignment vertical="center"/>
    </xf>
    <xf numFmtId="0" fontId="2" fillId="0" borderId="10" xfId="0" applyFont="1" applyBorder="1" applyAlignment="1">
      <alignment vertical="center" wrapText="1"/>
    </xf>
    <xf numFmtId="0" fontId="2" fillId="0" borderId="11" xfId="0" applyFont="1" applyFill="1" applyBorder="1" applyAlignment="1">
      <alignment horizontal="center" vertical="center" wrapText="1"/>
    </xf>
    <xf numFmtId="0" fontId="4" fillId="0" borderId="21" xfId="0" applyFont="1" applyFill="1" applyBorder="1" applyAlignment="1">
      <alignment horizontal="right" vertical="center"/>
    </xf>
    <xf numFmtId="0" fontId="14" fillId="46" borderId="15" xfId="0" applyFont="1" applyFill="1" applyBorder="1" applyAlignment="1">
      <alignment horizontal="center" vertical="center" wrapText="1"/>
    </xf>
    <xf numFmtId="9" fontId="4" fillId="0" borderId="0" xfId="0" applyNumberFormat="1" applyFont="1" applyFill="1" applyBorder="1" applyAlignment="1">
      <alignment vertical="center"/>
    </xf>
    <xf numFmtId="0" fontId="2" fillId="0" borderId="0" xfId="0" applyFont="1" applyBorder="1" applyAlignment="1">
      <alignment horizontal="center" vertical="center" wrapText="1"/>
    </xf>
    <xf numFmtId="0" fontId="2" fillId="0" borderId="11" xfId="0" applyFont="1" applyBorder="1" applyAlignment="1"/>
    <xf numFmtId="0" fontId="9" fillId="0" borderId="10"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wrapText="1"/>
    </xf>
    <xf numFmtId="0" fontId="4" fillId="0" borderId="12"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2" fillId="0" borderId="10" xfId="0" applyFont="1" applyBorder="1"/>
    <xf numFmtId="0" fontId="2" fillId="0" borderId="11" xfId="0" applyFont="1" applyBorder="1" applyAlignment="1">
      <alignment horizontal="center" vertical="center" wrapText="1"/>
    </xf>
    <xf numFmtId="0" fontId="4" fillId="0" borderId="0" xfId="0" applyFont="1" applyFill="1" applyAlignment="1">
      <alignment horizontal="right"/>
    </xf>
    <xf numFmtId="0" fontId="2" fillId="0" borderId="10" xfId="0" applyFont="1" applyBorder="1" applyAlignment="1"/>
    <xf numFmtId="0" fontId="4" fillId="0" borderId="12" xfId="0" applyNumberFormat="1" applyFont="1" applyFill="1" applyBorder="1" applyAlignment="1">
      <alignment horizontal="center" vertical="center" wrapText="1"/>
    </xf>
    <xf numFmtId="0" fontId="4" fillId="0" borderId="18" xfId="0" applyNumberFormat="1" applyFont="1" applyFill="1" applyBorder="1" applyAlignment="1">
      <alignment horizontal="center" vertical="center"/>
    </xf>
    <xf numFmtId="0" fontId="4" fillId="0" borderId="0" xfId="0" applyFont="1" applyFill="1" applyBorder="1" applyAlignment="1">
      <alignment vertical="top" wrapText="1"/>
    </xf>
    <xf numFmtId="14" fontId="4" fillId="0" borderId="0" xfId="0" applyNumberFormat="1" applyFont="1" applyFill="1" applyBorder="1" applyAlignment="1">
      <alignment horizontal="center"/>
    </xf>
    <xf numFmtId="14" fontId="4" fillId="0" borderId="0" xfId="0" applyNumberFormat="1" applyFont="1" applyFill="1" applyBorder="1" applyAlignment="1"/>
    <xf numFmtId="0" fontId="7" fillId="0" borderId="0" xfId="0" applyFont="1" applyFill="1" applyBorder="1" applyAlignment="1">
      <alignment horizontal="center" wrapText="1"/>
    </xf>
    <xf numFmtId="0" fontId="7" fillId="0" borderId="0" xfId="0" applyFont="1" applyFill="1" applyBorder="1" applyAlignment="1">
      <alignment wrapText="1"/>
    </xf>
    <xf numFmtId="14" fontId="4" fillId="0" borderId="0" xfId="0" applyNumberFormat="1" applyFont="1"/>
    <xf numFmtId="14" fontId="4" fillId="0" borderId="27" xfId="0" applyNumberFormat="1" applyFont="1" applyFill="1" applyBorder="1" applyAlignment="1"/>
    <xf numFmtId="0" fontId="4" fillId="0" borderId="27" xfId="0" applyFont="1" applyFill="1" applyBorder="1" applyAlignment="1">
      <alignment horizontal="right"/>
    </xf>
    <xf numFmtId="0" fontId="4" fillId="0" borderId="27" xfId="0" applyFont="1" applyFill="1" applyBorder="1" applyAlignment="1"/>
    <xf numFmtId="0" fontId="2" fillId="0" borderId="10" xfId="0" applyFont="1" applyBorder="1" applyAlignment="1">
      <alignment horizontal="center"/>
    </xf>
    <xf numFmtId="0" fontId="2" fillId="0" borderId="11" xfId="0" applyFont="1" applyBorder="1" applyAlignment="1">
      <alignment vertical="center" wrapText="1"/>
    </xf>
    <xf numFmtId="0" fontId="4" fillId="0" borderId="0" xfId="0" applyNumberFormat="1" applyFont="1" applyFill="1" applyBorder="1" applyAlignment="1">
      <alignment horizontal="center" vertical="center" textRotation="90"/>
    </xf>
    <xf numFmtId="0" fontId="4" fillId="0" borderId="14" xfId="0" applyFont="1" applyBorder="1"/>
    <xf numFmtId="0" fontId="4" fillId="0" borderId="31" xfId="0" applyFont="1" applyBorder="1"/>
    <xf numFmtId="0" fontId="29" fillId="0" borderId="16" xfId="0" applyNumberFormat="1" applyFont="1" applyFill="1" applyBorder="1" applyAlignment="1" applyProtection="1">
      <alignment vertical="center" wrapText="1"/>
    </xf>
    <xf numFmtId="0" fontId="14" fillId="39" borderId="16" xfId="0" applyFont="1" applyFill="1" applyBorder="1" applyAlignment="1">
      <alignment horizontal="center" vertical="center" wrapText="1"/>
    </xf>
    <xf numFmtId="0" fontId="2" fillId="0" borderId="0" xfId="269" applyFont="1"/>
    <xf numFmtId="0" fontId="2" fillId="0" borderId="0" xfId="269" applyFont="1" applyAlignment="1">
      <alignment vertical="top"/>
    </xf>
    <xf numFmtId="0" fontId="9" fillId="0" borderId="0" xfId="269" applyFont="1" applyFill="1" applyBorder="1" applyAlignment="1">
      <alignment horizontal="left" vertical="center"/>
    </xf>
    <xf numFmtId="0" fontId="5" fillId="0" borderId="0" xfId="239"/>
    <xf numFmtId="0" fontId="2" fillId="0" borderId="0" xfId="269" applyFont="1" applyAlignment="1">
      <alignment horizontal="right"/>
    </xf>
    <xf numFmtId="14" fontId="2" fillId="0" borderId="0" xfId="269" applyNumberFormat="1" applyFont="1"/>
    <xf numFmtId="0" fontId="4" fillId="0" borderId="0" xfId="0" applyFont="1" applyFill="1" applyBorder="1" applyAlignment="1">
      <alignment horizontal="left" wrapText="1"/>
    </xf>
    <xf numFmtId="165" fontId="29" fillId="0" borderId="11" xfId="0" applyNumberFormat="1" applyFont="1" applyFill="1" applyBorder="1" applyAlignment="1" applyProtection="1">
      <alignment horizontal="center" vertical="center"/>
    </xf>
    <xf numFmtId="0" fontId="4" fillId="0" borderId="0" xfId="0" applyFont="1" applyFill="1" applyBorder="1" applyAlignment="1">
      <alignment horizontal="left"/>
    </xf>
    <xf numFmtId="0" fontId="14" fillId="52" borderId="17" xfId="0" applyFont="1" applyFill="1" applyBorder="1" applyAlignment="1">
      <alignment vertical="center"/>
    </xf>
    <xf numFmtId="2" fontId="4" fillId="52" borderId="16" xfId="0" applyNumberFormat="1" applyFont="1" applyFill="1" applyBorder="1" applyAlignment="1">
      <alignment horizontal="center" vertical="center"/>
    </xf>
    <xf numFmtId="0" fontId="14" fillId="52" borderId="18" xfId="0" applyFont="1" applyFill="1" applyBorder="1" applyAlignment="1">
      <alignment vertical="center"/>
    </xf>
    <xf numFmtId="9" fontId="4" fillId="0" borderId="10" xfId="0" applyNumberFormat="1" applyFont="1" applyFill="1" applyBorder="1" applyAlignment="1">
      <alignment horizontal="center" vertical="center"/>
    </xf>
    <xf numFmtId="0" fontId="2" fillId="0" borderId="0" xfId="0" applyFont="1" applyBorder="1" applyAlignment="1">
      <alignment horizontal="left" vertical="center" wrapText="1"/>
    </xf>
    <xf numFmtId="0" fontId="4" fillId="0" borderId="0" xfId="0" applyFont="1" applyFill="1" applyBorder="1" applyAlignment="1">
      <alignment horizontal="left" vertical="top" wrapText="1"/>
    </xf>
    <xf numFmtId="14" fontId="4" fillId="0" borderId="0" xfId="0" applyNumberFormat="1" applyFont="1" applyFill="1" applyBorder="1" applyAlignment="1">
      <alignment vertical="center"/>
    </xf>
    <xf numFmtId="0" fontId="4" fillId="0" borderId="0" xfId="0" applyFont="1" applyFill="1" applyBorder="1" applyAlignment="1">
      <alignment horizontal="left" vertical="top"/>
    </xf>
    <xf numFmtId="14" fontId="14" fillId="33" borderId="10" xfId="0" applyNumberFormat="1" applyFont="1" applyFill="1" applyBorder="1" applyAlignment="1">
      <alignment vertical="center" wrapText="1"/>
    </xf>
    <xf numFmtId="14" fontId="14" fillId="0" borderId="0" xfId="0" applyNumberFormat="1" applyFont="1" applyFill="1" applyBorder="1" applyAlignment="1">
      <alignment vertical="center" wrapText="1"/>
    </xf>
    <xf numFmtId="0" fontId="57" fillId="0" borderId="0" xfId="0" applyFont="1"/>
    <xf numFmtId="2" fontId="14" fillId="0" borderId="0" xfId="0" applyNumberFormat="1" applyFont="1" applyFill="1" applyBorder="1" applyAlignment="1">
      <alignment horizontal="center" vertical="center" wrapText="1"/>
    </xf>
    <xf numFmtId="0" fontId="58" fillId="0" borderId="0" xfId="0" applyFont="1"/>
    <xf numFmtId="2" fontId="4" fillId="0" borderId="0" xfId="0" applyNumberFormat="1" applyFont="1" applyFill="1" applyBorder="1" applyAlignment="1">
      <alignment horizontal="center" vertical="center" wrapText="1"/>
    </xf>
    <xf numFmtId="0" fontId="57" fillId="0" borderId="0" xfId="0" applyFont="1" applyAlignment="1">
      <alignment vertical="center"/>
    </xf>
    <xf numFmtId="0" fontId="2" fillId="0" borderId="11" xfId="0" applyFont="1" applyFill="1" applyBorder="1" applyAlignment="1">
      <alignment horizontal="center" vertical="center"/>
    </xf>
    <xf numFmtId="0" fontId="29" fillId="0" borderId="10" xfId="0" applyNumberFormat="1" applyFont="1" applyFill="1" applyBorder="1" applyAlignment="1" applyProtection="1">
      <alignment horizontal="left" vertical="center"/>
    </xf>
    <xf numFmtId="0" fontId="2" fillId="0" borderId="0" xfId="269" applyFont="1" applyFill="1"/>
    <xf numFmtId="0" fontId="57" fillId="0" borderId="0" xfId="269" applyFont="1"/>
    <xf numFmtId="0" fontId="14" fillId="0" borderId="16" xfId="0" applyFont="1" applyFill="1" applyBorder="1" applyAlignment="1">
      <alignment horizontal="center" vertical="center" wrapText="1"/>
    </xf>
    <xf numFmtId="0" fontId="14" fillId="39" borderId="16" xfId="0" applyFont="1" applyFill="1" applyBorder="1" applyAlignment="1">
      <alignment horizontal="center" vertical="center"/>
    </xf>
    <xf numFmtId="0" fontId="0" fillId="0" borderId="21" xfId="0" applyBorder="1" applyAlignment="1">
      <alignment vertical="top"/>
    </xf>
    <xf numFmtId="2" fontId="14" fillId="0" borderId="11" xfId="0" applyNumberFormat="1" applyFont="1" applyBorder="1" applyAlignment="1">
      <alignment vertical="center" wrapText="1"/>
    </xf>
    <xf numFmtId="2" fontId="14" fillId="0" borderId="0" xfId="0" applyNumberFormat="1" applyFont="1" applyBorder="1" applyAlignment="1">
      <alignment vertical="center" wrapText="1"/>
    </xf>
    <xf numFmtId="10" fontId="4" fillId="0" borderId="17" xfId="0" applyNumberFormat="1" applyFont="1" applyBorder="1" applyAlignment="1">
      <alignment horizontal="center" vertical="center"/>
    </xf>
    <xf numFmtId="0" fontId="59" fillId="0" borderId="10" xfId="0" applyFont="1" applyBorder="1" applyAlignment="1">
      <alignment vertical="center"/>
    </xf>
    <xf numFmtId="0" fontId="4" fillId="47" borderId="0" xfId="0" applyFont="1" applyFill="1" applyBorder="1" applyAlignment="1">
      <alignment horizontal="center" vertical="center" wrapText="1"/>
    </xf>
    <xf numFmtId="0" fontId="4" fillId="47" borderId="20" xfId="0" applyFont="1" applyFill="1" applyBorder="1" applyAlignment="1">
      <alignment horizontal="center" vertical="center"/>
    </xf>
    <xf numFmtId="0" fontId="4" fillId="47" borderId="28" xfId="0" applyFont="1" applyFill="1" applyBorder="1" applyAlignment="1">
      <alignment horizontal="center" vertical="center" wrapText="1"/>
    </xf>
    <xf numFmtId="0" fontId="59" fillId="0" borderId="10" xfId="0" applyFont="1" applyFill="1" applyBorder="1" applyAlignment="1">
      <alignment vertical="center"/>
    </xf>
    <xf numFmtId="165" fontId="29" fillId="0" borderId="15" xfId="0" applyNumberFormat="1" applyFont="1" applyFill="1" applyBorder="1" applyAlignment="1" applyProtection="1">
      <alignment horizontal="center" vertical="center"/>
    </xf>
    <xf numFmtId="165" fontId="29" fillId="0" borderId="10" xfId="0" applyNumberFormat="1" applyFont="1" applyFill="1" applyBorder="1" applyAlignment="1" applyProtection="1">
      <alignment vertical="center"/>
    </xf>
    <xf numFmtId="165" fontId="29" fillId="0" borderId="16" xfId="0" applyNumberFormat="1" applyFont="1" applyFill="1" applyBorder="1" applyAlignment="1" applyProtection="1">
      <alignment vertical="center"/>
    </xf>
    <xf numFmtId="0" fontId="59" fillId="0" borderId="32" xfId="0" applyFont="1" applyBorder="1" applyAlignment="1">
      <alignment vertical="center"/>
    </xf>
    <xf numFmtId="0" fontId="59" fillId="0" borderId="33" xfId="0" applyFont="1" applyBorder="1" applyAlignment="1">
      <alignment vertical="center"/>
    </xf>
    <xf numFmtId="0" fontId="59" fillId="0" borderId="34" xfId="0" applyFont="1" applyFill="1" applyBorder="1" applyAlignment="1">
      <alignment vertical="center"/>
    </xf>
    <xf numFmtId="0" fontId="59" fillId="0" borderId="32" xfId="0" applyFont="1" applyFill="1" applyBorder="1" applyAlignment="1">
      <alignment vertical="center"/>
    </xf>
    <xf numFmtId="0" fontId="59" fillId="0" borderId="33" xfId="0" applyFont="1" applyFill="1" applyBorder="1" applyAlignment="1">
      <alignment vertical="center"/>
    </xf>
    <xf numFmtId="0" fontId="59" fillId="0" borderId="0" xfId="0" applyFont="1" applyFill="1" applyBorder="1" applyAlignment="1">
      <alignment vertical="center"/>
    </xf>
    <xf numFmtId="0" fontId="59" fillId="0" borderId="34" xfId="0" applyFont="1" applyBorder="1" applyAlignment="1">
      <alignment vertical="center"/>
    </xf>
    <xf numFmtId="0" fontId="4" fillId="0" borderId="19" xfId="0" applyNumberFormat="1" applyFont="1" applyFill="1" applyBorder="1" applyAlignment="1">
      <alignment horizontal="center" vertical="center"/>
    </xf>
    <xf numFmtId="0" fontId="4" fillId="0" borderId="17" xfId="0" applyNumberFormat="1" applyFont="1" applyFill="1" applyBorder="1" applyAlignment="1">
      <alignment horizontal="left" vertical="center"/>
    </xf>
    <xf numFmtId="0" fontId="24" fillId="0" borderId="10" xfId="0" applyNumberFormat="1" applyFont="1" applyFill="1" applyBorder="1" applyAlignment="1">
      <alignment vertical="center" wrapText="1"/>
    </xf>
    <xf numFmtId="0" fontId="62" fillId="0" borderId="0" xfId="0" applyNumberFormat="1" applyFont="1" applyFill="1" applyBorder="1" applyAlignment="1">
      <alignment vertical="center" wrapText="1"/>
    </xf>
    <xf numFmtId="0" fontId="57" fillId="0" borderId="10" xfId="0" applyFont="1" applyBorder="1" applyAlignment="1">
      <alignment horizontal="center"/>
    </xf>
    <xf numFmtId="0" fontId="58" fillId="0" borderId="10" xfId="0" applyNumberFormat="1" applyFont="1" applyBorder="1" applyAlignment="1">
      <alignment horizontal="center" vertical="center"/>
    </xf>
    <xf numFmtId="0" fontId="14" fillId="0" borderId="0" xfId="269" applyFont="1" applyFill="1" applyBorder="1" applyAlignment="1">
      <alignment wrapText="1"/>
    </xf>
    <xf numFmtId="0" fontId="14" fillId="0" borderId="11" xfId="269" applyFont="1" applyFill="1" applyBorder="1" applyAlignment="1">
      <alignment wrapText="1"/>
    </xf>
    <xf numFmtId="0" fontId="59" fillId="46" borderId="35" xfId="0" applyFont="1" applyFill="1" applyBorder="1" applyAlignment="1">
      <alignment horizontal="center" vertical="center"/>
    </xf>
    <xf numFmtId="0" fontId="59" fillId="46" borderId="36" xfId="0" applyFont="1" applyFill="1" applyBorder="1" applyAlignment="1">
      <alignment horizontal="center" vertical="center"/>
    </xf>
    <xf numFmtId="0" fontId="59" fillId="46" borderId="37" xfId="0" applyFont="1" applyFill="1" applyBorder="1" applyAlignment="1">
      <alignment horizontal="center" vertical="center"/>
    </xf>
    <xf numFmtId="0" fontId="59" fillId="0" borderId="38" xfId="0" applyFont="1" applyBorder="1" applyAlignment="1">
      <alignment vertical="center"/>
    </xf>
    <xf numFmtId="0" fontId="59" fillId="0" borderId="0" xfId="0" applyFont="1" applyBorder="1" applyAlignment="1">
      <alignment vertical="center"/>
    </xf>
    <xf numFmtId="0" fontId="59" fillId="0" borderId="39" xfId="0" applyFont="1" applyFill="1" applyBorder="1" applyAlignment="1">
      <alignment vertical="center"/>
    </xf>
    <xf numFmtId="0" fontId="59" fillId="0" borderId="38" xfId="0" applyFont="1" applyFill="1" applyBorder="1" applyAlignment="1">
      <alignment vertical="center"/>
    </xf>
    <xf numFmtId="0" fontId="59" fillId="0" borderId="39" xfId="0" applyFont="1" applyBorder="1" applyAlignment="1">
      <alignment vertical="center"/>
    </xf>
    <xf numFmtId="0" fontId="4" fillId="46" borderId="14" xfId="0" applyFont="1" applyFill="1" applyBorder="1" applyAlignment="1">
      <alignment horizontal="center" vertical="center" wrapText="1"/>
    </xf>
    <xf numFmtId="0" fontId="4" fillId="46" borderId="31" xfId="0" applyFont="1" applyFill="1" applyBorder="1" applyAlignment="1">
      <alignment horizontal="center" vertical="center" wrapText="1"/>
    </xf>
    <xf numFmtId="0" fontId="59" fillId="0" borderId="0" xfId="0" applyFont="1" applyBorder="1" applyAlignment="1">
      <alignment horizontal="center" vertical="center"/>
    </xf>
    <xf numFmtId="0" fontId="59" fillId="0" borderId="0" xfId="0" applyFont="1"/>
    <xf numFmtId="0" fontId="59" fillId="0" borderId="0" xfId="0" applyFont="1" applyAlignment="1">
      <alignment horizontal="center" vertical="center"/>
    </xf>
    <xf numFmtId="0" fontId="59" fillId="0" borderId="0" xfId="0" applyFont="1" applyAlignment="1">
      <alignment horizontal="center"/>
    </xf>
    <xf numFmtId="0" fontId="59" fillId="0" borderId="0" xfId="0" applyFont="1" applyFill="1" applyBorder="1" applyAlignment="1">
      <alignment horizontal="center" vertical="center"/>
    </xf>
    <xf numFmtId="0" fontId="59" fillId="0" borderId="0" xfId="0" applyFont="1" applyBorder="1" applyAlignment="1">
      <alignment vertical="center" wrapText="1"/>
    </xf>
    <xf numFmtId="0" fontId="14" fillId="52" borderId="18" xfId="0" applyFont="1" applyFill="1" applyBorder="1" applyAlignment="1">
      <alignment vertical="center" wrapText="1"/>
    </xf>
    <xf numFmtId="0" fontId="4" fillId="52" borderId="12" xfId="0" applyNumberFormat="1" applyFont="1" applyFill="1" applyBorder="1" applyAlignment="1">
      <alignment horizontal="center" vertical="center"/>
    </xf>
    <xf numFmtId="0" fontId="14" fillId="0" borderId="0" xfId="0" applyFont="1" applyFill="1" applyBorder="1" applyAlignment="1">
      <alignment horizontal="left" vertical="center" wrapText="1"/>
    </xf>
    <xf numFmtId="0" fontId="4" fillId="54" borderId="10" xfId="0" applyNumberFormat="1" applyFont="1" applyFill="1" applyBorder="1" applyAlignment="1">
      <alignment horizontal="center" vertical="center"/>
    </xf>
    <xf numFmtId="0" fontId="63" fillId="0" borderId="0" xfId="0" applyNumberFormat="1" applyFont="1" applyFill="1" applyBorder="1" applyAlignment="1">
      <alignment vertical="center" wrapText="1"/>
    </xf>
    <xf numFmtId="0" fontId="27" fillId="0" borderId="0" xfId="0" applyNumberFormat="1" applyFont="1" applyFill="1" applyBorder="1" applyAlignment="1">
      <alignment vertical="center" wrapText="1"/>
    </xf>
    <xf numFmtId="167" fontId="60" fillId="0" borderId="0" xfId="0" applyNumberFormat="1" applyFont="1" applyFill="1" applyBorder="1" applyAlignment="1">
      <alignment vertical="center"/>
    </xf>
    <xf numFmtId="0" fontId="0" fillId="0" borderId="0" xfId="0" applyBorder="1" applyAlignment="1">
      <alignment horizontal="center" vertical="center" wrapText="1"/>
    </xf>
    <xf numFmtId="4" fontId="14" fillId="0" borderId="0" xfId="0" applyNumberFormat="1" applyFont="1" applyFill="1" applyBorder="1" applyAlignment="1" applyProtection="1">
      <alignment horizontal="center" vertical="center"/>
      <protection hidden="1"/>
    </xf>
    <xf numFmtId="0" fontId="14" fillId="0" borderId="0" xfId="0" applyFont="1" applyFill="1" applyBorder="1" applyAlignment="1">
      <alignment horizontal="left" vertical="center"/>
    </xf>
    <xf numFmtId="0" fontId="4" fillId="0" borderId="0" xfId="0" applyNumberFormat="1" applyFont="1" applyFill="1" applyBorder="1" applyAlignment="1">
      <alignment horizontal="left" textRotation="90"/>
    </xf>
    <xf numFmtId="0" fontId="4" fillId="0" borderId="30" xfId="0" applyFont="1" applyFill="1" applyBorder="1" applyAlignment="1">
      <alignment horizontal="center" vertical="center" wrapText="1"/>
    </xf>
    <xf numFmtId="0" fontId="4" fillId="0" borderId="30" xfId="0" applyFont="1" applyFill="1" applyBorder="1" applyAlignment="1">
      <alignment vertical="center" wrapText="1"/>
    </xf>
    <xf numFmtId="0" fontId="60" fillId="0" borderId="0" xfId="0" applyFont="1" applyFill="1" applyAlignment="1">
      <alignment vertical="center"/>
    </xf>
    <xf numFmtId="165" fontId="29" fillId="0" borderId="10" xfId="0" applyNumberFormat="1" applyFont="1" applyFill="1" applyBorder="1" applyAlignment="1" applyProtection="1">
      <alignment horizontal="center" vertical="center" wrapText="1"/>
    </xf>
    <xf numFmtId="0" fontId="4" fillId="0" borderId="12" xfId="0" applyFont="1" applyFill="1" applyBorder="1" applyAlignment="1">
      <alignment horizontal="center" vertical="center" wrapText="1"/>
    </xf>
    <xf numFmtId="0" fontId="27" fillId="52" borderId="12" xfId="0" applyNumberFormat="1" applyFont="1" applyFill="1" applyBorder="1" applyAlignment="1">
      <alignment horizontal="center" vertical="center" wrapText="1"/>
    </xf>
    <xf numFmtId="0" fontId="2" fillId="0" borderId="10" xfId="0" applyFont="1" applyFill="1" applyBorder="1" applyAlignment="1" applyProtection="1">
      <alignment horizontal="center" vertical="center"/>
      <protection hidden="1"/>
    </xf>
    <xf numFmtId="167" fontId="2" fillId="0" borderId="10" xfId="0" applyNumberFormat="1" applyFont="1" applyFill="1" applyBorder="1" applyAlignment="1" applyProtection="1">
      <alignment horizontal="center" vertical="center" wrapText="1"/>
      <protection hidden="1"/>
    </xf>
    <xf numFmtId="0" fontId="4" fillId="52" borderId="16" xfId="0" applyNumberFormat="1" applyFont="1" applyFill="1" applyBorder="1" applyAlignment="1">
      <alignment horizontal="center" vertical="center"/>
    </xf>
    <xf numFmtId="0" fontId="4" fillId="52" borderId="10" xfId="0" applyNumberFormat="1" applyFont="1" applyFill="1" applyBorder="1" applyAlignment="1">
      <alignment horizontal="center" vertical="center"/>
    </xf>
    <xf numFmtId="0" fontId="57" fillId="0" borderId="10" xfId="0" applyFont="1" applyBorder="1" applyAlignment="1">
      <alignment vertical="center"/>
    </xf>
    <xf numFmtId="0" fontId="60" fillId="0" borderId="0" xfId="0" applyFont="1" applyFill="1" applyAlignment="1">
      <alignment vertical="center" wrapText="1"/>
    </xf>
    <xf numFmtId="0" fontId="59" fillId="0" borderId="10" xfId="0" applyFont="1" applyBorder="1" applyAlignment="1">
      <alignment vertical="center" wrapText="1"/>
    </xf>
    <xf numFmtId="0" fontId="59" fillId="0" borderId="10" xfId="0" applyFont="1" applyFill="1" applyBorder="1" applyAlignment="1">
      <alignment vertical="center" wrapText="1"/>
    </xf>
    <xf numFmtId="0" fontId="59" fillId="0" borderId="10" xfId="0" applyFont="1" applyBorder="1"/>
    <xf numFmtId="0" fontId="14" fillId="0" borderId="11" xfId="0" applyFont="1" applyFill="1" applyBorder="1" applyAlignment="1" applyProtection="1">
      <alignment horizontal="center" vertical="center" wrapText="1"/>
      <protection hidden="1"/>
    </xf>
    <xf numFmtId="0" fontId="4" fillId="0" borderId="11" xfId="0" applyNumberFormat="1" applyFont="1" applyFill="1" applyBorder="1" applyAlignment="1" applyProtection="1">
      <alignment horizontal="center" vertical="center" wrapText="1"/>
      <protection hidden="1"/>
    </xf>
    <xf numFmtId="4" fontId="14" fillId="0" borderId="10" xfId="0" applyNumberFormat="1" applyFont="1" applyFill="1" applyBorder="1" applyAlignment="1" applyProtection="1">
      <alignment horizontal="center" vertical="center" wrapText="1"/>
      <protection hidden="1"/>
    </xf>
    <xf numFmtId="14" fontId="4" fillId="0" borderId="21" xfId="0" applyNumberFormat="1" applyFont="1" applyBorder="1" applyAlignment="1">
      <alignment horizontal="center"/>
    </xf>
    <xf numFmtId="1" fontId="8" fillId="0" borderId="28" xfId="0" applyNumberFormat="1"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protection hidden="1"/>
    </xf>
    <xf numFmtId="2" fontId="4" fillId="0" borderId="10" xfId="0" applyNumberFormat="1" applyFont="1" applyFill="1" applyBorder="1" applyAlignment="1" applyProtection="1">
      <alignment horizontal="center" vertical="center" wrapText="1"/>
      <protection hidden="1"/>
    </xf>
    <xf numFmtId="1" fontId="4" fillId="0" borderId="10" xfId="0" applyNumberFormat="1" applyFont="1" applyFill="1" applyBorder="1" applyAlignment="1" applyProtection="1">
      <alignment horizontal="center" vertical="center" wrapText="1"/>
      <protection hidden="1"/>
    </xf>
    <xf numFmtId="165" fontId="4" fillId="0" borderId="10" xfId="0" applyNumberFormat="1" applyFont="1" applyFill="1" applyBorder="1" applyAlignment="1" applyProtection="1">
      <alignment horizontal="center" vertical="center"/>
      <protection hidden="1"/>
    </xf>
    <xf numFmtId="0" fontId="4" fillId="0" borderId="10" xfId="0" applyFont="1" applyFill="1" applyBorder="1" applyAlignment="1" applyProtection="1">
      <alignment horizontal="center" vertical="center"/>
      <protection hidden="1"/>
    </xf>
    <xf numFmtId="2" fontId="4" fillId="0" borderId="10" xfId="0" applyNumberFormat="1" applyFont="1" applyFill="1" applyBorder="1" applyAlignment="1" applyProtection="1">
      <alignment horizontal="center" vertical="center"/>
      <protection hidden="1"/>
    </xf>
    <xf numFmtId="1" fontId="4" fillId="0" borderId="10" xfId="0" applyNumberFormat="1" applyFont="1" applyFill="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2" fillId="0" borderId="28" xfId="0" applyFont="1" applyFill="1" applyBorder="1" applyAlignment="1">
      <alignment horizontal="right"/>
    </xf>
    <xf numFmtId="0" fontId="4" fillId="0" borderId="10" xfId="0" applyFont="1" applyBorder="1" applyAlignment="1" applyProtection="1">
      <alignment horizontal="center" vertical="center" wrapText="1"/>
      <protection hidden="1"/>
    </xf>
    <xf numFmtId="165" fontId="4" fillId="0" borderId="10" xfId="0" applyNumberFormat="1" applyFont="1" applyBorder="1" applyAlignment="1" applyProtection="1">
      <alignment horizontal="center" vertical="center"/>
      <protection hidden="1"/>
    </xf>
    <xf numFmtId="2" fontId="4" fillId="0" borderId="10" xfId="0" applyNumberFormat="1" applyFont="1" applyBorder="1" applyAlignment="1" applyProtection="1">
      <alignment horizontal="center" vertical="center"/>
      <protection hidden="1"/>
    </xf>
    <xf numFmtId="0" fontId="4" fillId="0" borderId="10" xfId="0" applyNumberFormat="1" applyFont="1" applyBorder="1" applyAlignment="1" applyProtection="1">
      <alignment horizontal="center" vertical="center" wrapText="1"/>
      <protection hidden="1"/>
    </xf>
    <xf numFmtId="0" fontId="4" fillId="0" borderId="10" xfId="0" applyNumberFormat="1" applyFont="1" applyBorder="1" applyAlignment="1" applyProtection="1">
      <alignment horizontal="center" vertical="center"/>
      <protection hidden="1"/>
    </xf>
    <xf numFmtId="0" fontId="4" fillId="0" borderId="11" xfId="0" applyFont="1" applyFill="1" applyBorder="1" applyAlignment="1" applyProtection="1">
      <alignment horizontal="center" vertical="center" wrapText="1"/>
      <protection hidden="1"/>
    </xf>
    <xf numFmtId="0" fontId="4" fillId="0" borderId="10" xfId="0" applyFont="1" applyBorder="1" applyAlignment="1" applyProtection="1">
      <alignment vertical="center" wrapText="1"/>
      <protection hidden="1"/>
    </xf>
    <xf numFmtId="4" fontId="4" fillId="0" borderId="1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14" fillId="0" borderId="0" xfId="0" applyFont="1" applyBorder="1" applyAlignment="1" applyProtection="1">
      <alignment horizontal="center" vertical="center" wrapText="1"/>
      <protection hidden="1"/>
    </xf>
    <xf numFmtId="165" fontId="4" fillId="0" borderId="0" xfId="0" applyNumberFormat="1" applyFont="1" applyBorder="1" applyAlignment="1" applyProtection="1">
      <alignment horizontal="center" vertical="center"/>
      <protection hidden="1"/>
    </xf>
    <xf numFmtId="3" fontId="14" fillId="0" borderId="0" xfId="0" applyNumberFormat="1" applyFont="1" applyFill="1" applyBorder="1" applyAlignment="1" applyProtection="1">
      <alignment horizontal="center" vertical="center"/>
      <protection hidden="1"/>
    </xf>
    <xf numFmtId="0" fontId="4" fillId="0" borderId="31" xfId="0" applyNumberFormat="1" applyFont="1" applyFill="1" applyBorder="1" applyAlignment="1">
      <alignment horizontal="center" vertical="center"/>
    </xf>
    <xf numFmtId="0" fontId="4" fillId="0" borderId="18" xfId="0" applyNumberFormat="1" applyFont="1" applyFill="1" applyBorder="1" applyAlignment="1">
      <alignment horizontal="left" vertical="center"/>
    </xf>
    <xf numFmtId="0" fontId="14" fillId="46" borderId="12" xfId="0" applyFont="1" applyFill="1" applyBorder="1" applyAlignment="1" applyProtection="1">
      <alignment vertical="center" wrapText="1"/>
      <protection locked="0"/>
    </xf>
    <xf numFmtId="0" fontId="14" fillId="46" borderId="12" xfId="0" applyFont="1" applyFill="1" applyBorder="1" applyAlignment="1" applyProtection="1">
      <alignment horizontal="center" vertical="center" wrapText="1"/>
      <protection locked="0"/>
    </xf>
    <xf numFmtId="0" fontId="14" fillId="52" borderId="12" xfId="0" applyFont="1" applyFill="1" applyBorder="1" applyAlignment="1">
      <alignment horizontal="centerContinuous" vertical="center"/>
    </xf>
    <xf numFmtId="0" fontId="14" fillId="52" borderId="17" xfId="0" applyFont="1" applyFill="1" applyBorder="1" applyAlignment="1">
      <alignment horizontal="centerContinuous" vertical="center"/>
    </xf>
    <xf numFmtId="0" fontId="14" fillId="52" borderId="18" xfId="0" applyFont="1" applyFill="1" applyBorder="1" applyAlignment="1">
      <alignment horizontal="centerContinuous" vertical="center"/>
    </xf>
    <xf numFmtId="0" fontId="4" fillId="0" borderId="13" xfId="0" applyNumberFormat="1" applyFont="1" applyFill="1" applyBorder="1" applyAlignment="1">
      <alignment horizontal="center" vertical="center"/>
    </xf>
    <xf numFmtId="0" fontId="4" fillId="0" borderId="30" xfId="0" applyNumberFormat="1" applyFont="1" applyFill="1" applyBorder="1" applyAlignment="1">
      <alignment horizontal="center" vertical="center"/>
    </xf>
    <xf numFmtId="1" fontId="4" fillId="46" borderId="12" xfId="0" applyNumberFormat="1" applyFont="1" applyFill="1" applyBorder="1" applyAlignment="1">
      <alignment horizontal="center" vertical="center"/>
    </xf>
    <xf numFmtId="0" fontId="4" fillId="0" borderId="17" xfId="0" applyFont="1" applyFill="1" applyBorder="1"/>
    <xf numFmtId="0" fontId="14" fillId="52" borderId="10" xfId="0" applyFont="1" applyFill="1" applyBorder="1" applyAlignment="1">
      <alignment horizontal="center" vertical="center" wrapText="1"/>
    </xf>
    <xf numFmtId="0" fontId="14" fillId="0" borderId="35" xfId="0" applyFont="1" applyFill="1" applyBorder="1" applyAlignment="1">
      <alignment horizontal="center" vertical="center"/>
    </xf>
    <xf numFmtId="0" fontId="4" fillId="55" borderId="11" xfId="0" applyFont="1" applyFill="1" applyBorder="1" applyAlignment="1">
      <alignment horizontal="center" vertical="center" wrapText="1"/>
    </xf>
    <xf numFmtId="0" fontId="4" fillId="55" borderId="15" xfId="0" applyFont="1" applyFill="1" applyBorder="1" applyAlignment="1">
      <alignment horizontal="center" vertical="center"/>
    </xf>
    <xf numFmtId="0" fontId="4" fillId="55" borderId="16" xfId="0" applyFont="1" applyFill="1" applyBorder="1" applyAlignment="1">
      <alignment horizontal="center" vertical="center"/>
    </xf>
    <xf numFmtId="0" fontId="4" fillId="0" borderId="24" xfId="0" applyFont="1" applyFill="1" applyBorder="1" applyAlignment="1">
      <alignment horizontal="left" vertical="center" wrapText="1"/>
    </xf>
    <xf numFmtId="0" fontId="4" fillId="0" borderId="23" xfId="0" applyFont="1" applyFill="1" applyBorder="1" applyAlignment="1">
      <alignment vertical="center" wrapText="1"/>
    </xf>
    <xf numFmtId="0" fontId="4" fillId="52" borderId="10" xfId="0" applyFont="1" applyFill="1" applyBorder="1" applyAlignment="1">
      <alignment horizontal="center" vertical="center"/>
    </xf>
    <xf numFmtId="0" fontId="56" fillId="0" borderId="0" xfId="0" applyFont="1" applyFill="1"/>
    <xf numFmtId="0" fontId="61" fillId="52" borderId="12" xfId="0" applyFont="1" applyFill="1" applyBorder="1" applyAlignment="1">
      <alignment horizontal="right" vertical="center" wrapText="1"/>
    </xf>
    <xf numFmtId="0" fontId="4" fillId="52" borderId="16" xfId="0" applyNumberFormat="1" applyFont="1" applyFill="1" applyBorder="1" applyAlignment="1">
      <alignment horizontal="center" vertical="center"/>
    </xf>
    <xf numFmtId="0" fontId="4" fillId="52" borderId="10" xfId="0" applyNumberFormat="1" applyFont="1" applyFill="1" applyBorder="1" applyAlignment="1">
      <alignment horizontal="center" vertical="center"/>
    </xf>
    <xf numFmtId="0" fontId="24" fillId="0" borderId="16" xfId="0" applyNumberFormat="1" applyFont="1" applyFill="1" applyBorder="1" applyAlignment="1">
      <alignment vertical="center" wrapText="1"/>
    </xf>
    <xf numFmtId="14" fontId="14" fillId="0" borderId="26" xfId="0" applyNumberFormat="1" applyFont="1" applyBorder="1" applyAlignment="1"/>
    <xf numFmtId="14" fontId="14" fillId="0" borderId="26" xfId="0" applyNumberFormat="1" applyFont="1" applyBorder="1" applyAlignment="1">
      <alignment horizontal="right"/>
    </xf>
    <xf numFmtId="0" fontId="4" fillId="52" borderId="16" xfId="0" applyNumberFormat="1" applyFont="1" applyFill="1" applyBorder="1" applyAlignment="1">
      <alignment horizontal="center" vertical="center"/>
    </xf>
    <xf numFmtId="0" fontId="4" fillId="52" borderId="10" xfId="0" applyNumberFormat="1" applyFont="1" applyFill="1" applyBorder="1" applyAlignment="1">
      <alignment horizontal="center" vertical="center"/>
    </xf>
    <xf numFmtId="0" fontId="4" fillId="52" borderId="10" xfId="0" applyFont="1" applyFill="1" applyBorder="1" applyAlignment="1">
      <alignment horizontal="center" vertical="center"/>
    </xf>
    <xf numFmtId="0" fontId="56" fillId="46" borderId="36" xfId="0" applyFont="1" applyFill="1" applyBorder="1" applyAlignment="1">
      <alignment horizontal="center" vertical="center"/>
    </xf>
    <xf numFmtId="0" fontId="59" fillId="0" borderId="0" xfId="0" applyFont="1" applyBorder="1"/>
    <xf numFmtId="0" fontId="56" fillId="46" borderId="35" xfId="0" applyFont="1" applyFill="1" applyBorder="1" applyAlignment="1">
      <alignment horizontal="center" vertical="center"/>
    </xf>
    <xf numFmtId="0" fontId="56" fillId="46" borderId="37" xfId="0" applyFont="1" applyFill="1" applyBorder="1" applyAlignment="1">
      <alignment horizontal="center" vertical="center"/>
    </xf>
    <xf numFmtId="0" fontId="4" fillId="52" borderId="16" xfId="0" applyNumberFormat="1" applyFont="1" applyFill="1" applyBorder="1" applyAlignment="1">
      <alignment horizontal="center" vertical="center"/>
    </xf>
    <xf numFmtId="0" fontId="4" fillId="52" borderId="10" xfId="0" applyNumberFormat="1" applyFont="1" applyFill="1" applyBorder="1" applyAlignment="1">
      <alignment horizontal="center" vertical="center" wrapText="1"/>
    </xf>
    <xf numFmtId="0" fontId="4" fillId="52" borderId="10" xfId="0" applyNumberFormat="1" applyFont="1" applyFill="1" applyBorder="1" applyAlignment="1">
      <alignment horizontal="center" vertical="center"/>
    </xf>
    <xf numFmtId="0" fontId="9" fillId="52" borderId="10" xfId="0" applyFont="1" applyFill="1" applyBorder="1" applyAlignment="1">
      <alignment horizontal="center" vertical="center" wrapText="1"/>
    </xf>
    <xf numFmtId="0" fontId="14" fillId="52" borderId="12" xfId="0" applyFont="1" applyFill="1" applyBorder="1" applyAlignment="1">
      <alignment horizontal="center" vertical="center"/>
    </xf>
    <xf numFmtId="0" fontId="14" fillId="53" borderId="10" xfId="0" applyFont="1" applyFill="1" applyBorder="1" applyAlignment="1">
      <alignment horizontal="center" vertical="center" wrapText="1"/>
    </xf>
    <xf numFmtId="0" fontId="9" fillId="0" borderId="11" xfId="0" applyNumberFormat="1" applyFont="1" applyFill="1" applyBorder="1" applyAlignment="1">
      <alignment horizontal="center" vertical="center"/>
    </xf>
    <xf numFmtId="0" fontId="4" fillId="52" borderId="10" xfId="0" applyFont="1" applyFill="1" applyBorder="1" applyAlignment="1">
      <alignment horizontal="center" vertical="center"/>
    </xf>
    <xf numFmtId="0" fontId="4" fillId="52" borderId="10" xfId="0" applyNumberFormat="1" applyFont="1" applyFill="1" applyBorder="1" applyAlignment="1">
      <alignment horizontal="center" vertical="center" wrapText="1"/>
    </xf>
    <xf numFmtId="0" fontId="4" fillId="52" borderId="10" xfId="0" applyNumberFormat="1" applyFont="1" applyFill="1" applyBorder="1" applyAlignment="1">
      <alignment horizontal="center" vertical="center"/>
    </xf>
    <xf numFmtId="0" fontId="14" fillId="52" borderId="10" xfId="0" applyFont="1" applyFill="1" applyBorder="1" applyAlignment="1">
      <alignment horizontal="center" vertical="center" wrapText="1"/>
    </xf>
    <xf numFmtId="0" fontId="4" fillId="52" borderId="10" xfId="0" applyNumberFormat="1" applyFont="1" applyFill="1" applyBorder="1" applyAlignment="1">
      <alignment horizontal="center" vertical="center"/>
    </xf>
    <xf numFmtId="0" fontId="2" fillId="52" borderId="10" xfId="0" applyNumberFormat="1" applyFont="1" applyFill="1" applyBorder="1" applyAlignment="1">
      <alignment horizontal="center" vertical="center"/>
    </xf>
    <xf numFmtId="0" fontId="27" fillId="52" borderId="10" xfId="0" applyNumberFormat="1" applyFont="1" applyFill="1" applyBorder="1" applyAlignment="1">
      <alignment horizontal="center" vertical="center" wrapText="1"/>
    </xf>
    <xf numFmtId="0" fontId="14" fillId="46" borderId="40" xfId="0" applyFont="1" applyFill="1" applyBorder="1" applyAlignment="1" applyProtection="1">
      <alignment horizontal="center" vertical="center" wrapText="1"/>
      <protection locked="0"/>
    </xf>
    <xf numFmtId="0" fontId="4" fillId="52" borderId="10" xfId="0" applyNumberFormat="1" applyFont="1" applyFill="1" applyBorder="1" applyAlignment="1">
      <alignment horizontal="center" vertical="center" wrapText="1"/>
    </xf>
    <xf numFmtId="0" fontId="4" fillId="52" borderId="10" xfId="0" applyFont="1" applyFill="1" applyBorder="1" applyAlignment="1">
      <alignment horizontal="left" vertical="center"/>
    </xf>
    <xf numFmtId="0" fontId="24" fillId="0" borderId="10" xfId="0" applyNumberFormat="1" applyFont="1" applyFill="1" applyBorder="1" applyAlignment="1">
      <alignment horizontal="center" vertical="center" wrapText="1"/>
    </xf>
    <xf numFmtId="0" fontId="24" fillId="0" borderId="40" xfId="0" applyNumberFormat="1" applyFont="1" applyFill="1" applyBorder="1" applyAlignment="1">
      <alignment horizontal="center" vertical="center" wrapText="1"/>
    </xf>
    <xf numFmtId="0" fontId="59" fillId="46" borderId="38" xfId="0" applyFont="1" applyFill="1" applyBorder="1" applyAlignment="1">
      <alignment horizontal="center" vertical="center"/>
    </xf>
    <xf numFmtId="0" fontId="59" fillId="0" borderId="38" xfId="0" applyFont="1" applyBorder="1" applyAlignment="1">
      <alignment horizontal="center" vertical="center"/>
    </xf>
    <xf numFmtId="0" fontId="59" fillId="0" borderId="35" xfId="0" applyFont="1" applyBorder="1" applyAlignment="1">
      <alignment horizontal="center" vertical="center"/>
    </xf>
    <xf numFmtId="0" fontId="59" fillId="46" borderId="0" xfId="0" applyFont="1" applyFill="1" applyBorder="1" applyAlignment="1">
      <alignment horizontal="center" vertical="center"/>
    </xf>
    <xf numFmtId="0" fontId="59" fillId="0" borderId="36" xfId="0" applyFont="1" applyBorder="1" applyAlignment="1">
      <alignment horizontal="center" vertical="center"/>
    </xf>
    <xf numFmtId="0" fontId="59" fillId="0" borderId="36" xfId="0" applyFont="1" applyFill="1" applyBorder="1" applyAlignment="1">
      <alignment horizontal="center" vertical="center"/>
    </xf>
    <xf numFmtId="0" fontId="59" fillId="46" borderId="39" xfId="0" applyFont="1" applyFill="1" applyBorder="1" applyAlignment="1">
      <alignment horizontal="center" vertical="center"/>
    </xf>
    <xf numFmtId="0" fontId="59" fillId="0" borderId="39" xfId="0" applyFont="1" applyBorder="1" applyAlignment="1">
      <alignment horizontal="center" vertical="center"/>
    </xf>
    <xf numFmtId="0" fontId="59" fillId="0" borderId="37" xfId="0" applyFont="1" applyBorder="1" applyAlignment="1">
      <alignment horizontal="center" vertical="center"/>
    </xf>
    <xf numFmtId="0" fontId="4" fillId="52" borderId="12" xfId="0" applyFont="1" applyFill="1" applyBorder="1" applyAlignment="1">
      <alignment horizontal="left" vertical="center"/>
    </xf>
    <xf numFmtId="0" fontId="4" fillId="52" borderId="17" xfId="0" applyFont="1" applyFill="1" applyBorder="1" applyAlignment="1">
      <alignment horizontal="left" vertical="center"/>
    </xf>
    <xf numFmtId="0" fontId="4" fillId="52" borderId="18" xfId="0" applyFont="1" applyFill="1" applyBorder="1" applyAlignment="1">
      <alignment horizontal="left" vertical="center"/>
    </xf>
    <xf numFmtId="0" fontId="4" fillId="46" borderId="10" xfId="269" applyFont="1" applyFill="1" applyBorder="1" applyAlignment="1">
      <alignment horizontal="center" vertical="center"/>
    </xf>
    <xf numFmtId="0" fontId="31" fillId="0" borderId="0" xfId="269" applyFont="1" applyFill="1" applyBorder="1" applyAlignment="1">
      <alignment vertical="center" wrapText="1"/>
    </xf>
    <xf numFmtId="0" fontId="31" fillId="0" borderId="0" xfId="269" applyFont="1" applyFill="1" applyBorder="1" applyAlignment="1">
      <alignment vertical="center"/>
    </xf>
    <xf numFmtId="0" fontId="4" fillId="46" borderId="10" xfId="269" applyFont="1" applyFill="1" applyBorder="1" applyAlignment="1">
      <alignment horizontal="center" vertical="center" wrapText="1"/>
    </xf>
    <xf numFmtId="0" fontId="19" fillId="0" borderId="0" xfId="269" applyFont="1" applyFill="1" applyBorder="1" applyAlignment="1">
      <alignment vertical="center" wrapText="1"/>
    </xf>
    <xf numFmtId="0" fontId="17" fillId="0" borderId="10" xfId="0" applyFont="1" applyFill="1" applyBorder="1" applyAlignment="1">
      <alignment vertical="center"/>
    </xf>
    <xf numFmtId="0" fontId="4" fillId="56" borderId="10" xfId="269" applyFont="1" applyFill="1" applyBorder="1" applyAlignment="1">
      <alignment horizontal="center" vertical="center" wrapText="1"/>
    </xf>
    <xf numFmtId="0" fontId="17" fillId="47" borderId="10" xfId="0" applyFont="1" applyFill="1" applyBorder="1" applyAlignment="1">
      <alignment vertical="center"/>
    </xf>
    <xf numFmtId="0" fontId="17" fillId="0" borderId="10" xfId="0" applyFont="1" applyFill="1" applyBorder="1" applyAlignment="1">
      <alignment vertical="center" wrapText="1"/>
    </xf>
    <xf numFmtId="1" fontId="17" fillId="0" borderId="10" xfId="0" applyNumberFormat="1" applyFont="1" applyFill="1" applyBorder="1" applyAlignment="1">
      <alignment horizontal="left" vertical="center"/>
    </xf>
    <xf numFmtId="0" fontId="17" fillId="0" borderId="10" xfId="0" applyFont="1" applyFill="1" applyBorder="1" applyAlignment="1">
      <alignment horizontal="left" vertical="center"/>
    </xf>
    <xf numFmtId="0" fontId="3" fillId="0" borderId="0" xfId="269" applyFont="1" applyAlignment="1">
      <alignment vertical="center"/>
    </xf>
    <xf numFmtId="0" fontId="14" fillId="0" borderId="15" xfId="0" applyFont="1" applyFill="1" applyBorder="1" applyAlignment="1">
      <alignment horizontal="center" vertical="center" wrapText="1"/>
    </xf>
    <xf numFmtId="0" fontId="14" fillId="52" borderId="10" xfId="0" applyFont="1" applyFill="1" applyBorder="1" applyAlignment="1">
      <alignment horizontal="center" vertical="center"/>
    </xf>
    <xf numFmtId="0" fontId="14" fillId="52" borderId="12" xfId="0" applyFont="1" applyFill="1" applyBorder="1" applyAlignment="1">
      <alignment horizontal="center" vertical="center"/>
    </xf>
    <xf numFmtId="0" fontId="14" fillId="0" borderId="11" xfId="0" applyFont="1" applyFill="1" applyBorder="1" applyAlignment="1">
      <alignment horizontal="center" vertical="center"/>
    </xf>
    <xf numFmtId="0" fontId="14" fillId="52" borderId="0" xfId="0" applyFont="1" applyFill="1" applyBorder="1" applyAlignment="1">
      <alignment horizontal="center" vertical="center"/>
    </xf>
    <xf numFmtId="0" fontId="14" fillId="53" borderId="10" xfId="0" applyFont="1" applyFill="1" applyBorder="1" applyAlignment="1">
      <alignment horizontal="center" vertical="center" wrapText="1"/>
    </xf>
    <xf numFmtId="0" fontId="14" fillId="52" borderId="10" xfId="0" applyFont="1" applyFill="1" applyBorder="1" applyAlignment="1">
      <alignment horizontal="center" vertical="center" wrapText="1"/>
    </xf>
    <xf numFmtId="0" fontId="9" fillId="53" borderId="10" xfId="0" applyFont="1" applyFill="1" applyBorder="1" applyAlignment="1">
      <alignment horizontal="center" vertical="center" wrapText="1"/>
    </xf>
    <xf numFmtId="0" fontId="0" fillId="0" borderId="0" xfId="0"/>
    <xf numFmtId="0" fontId="0" fillId="0" borderId="10" xfId="0" applyFill="1" applyBorder="1" applyAlignment="1">
      <alignment horizontal="center"/>
    </xf>
    <xf numFmtId="0" fontId="4" fillId="52" borderId="20" xfId="0" applyNumberFormat="1" applyFont="1" applyFill="1" applyBorder="1" applyAlignment="1">
      <alignment horizontal="center" vertical="center"/>
    </xf>
    <xf numFmtId="0" fontId="14" fillId="52" borderId="0" xfId="0" applyFont="1" applyFill="1" applyBorder="1" applyAlignment="1">
      <alignment vertical="center"/>
    </xf>
    <xf numFmtId="4" fontId="14" fillId="0" borderId="10"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horizontal="center" vertical="center" wrapText="1"/>
      <protection hidden="1"/>
    </xf>
    <xf numFmtId="0" fontId="14" fillId="52" borderId="17" xfId="0" applyFont="1" applyFill="1" applyBorder="1" applyAlignment="1">
      <alignment horizontal="center" vertical="center" wrapText="1"/>
    </xf>
    <xf numFmtId="0" fontId="14" fillId="52" borderId="10" xfId="0" applyFont="1" applyFill="1" applyBorder="1" applyAlignment="1">
      <alignment horizontal="center" vertical="center" wrapText="1"/>
    </xf>
    <xf numFmtId="0" fontId="4" fillId="52" borderId="10" xfId="0" applyFont="1" applyFill="1" applyBorder="1" applyAlignment="1">
      <alignment horizontal="center" vertical="center" wrapText="1"/>
    </xf>
    <xf numFmtId="4" fontId="14" fillId="0" borderId="16" xfId="0" applyNumberFormat="1" applyFont="1" applyFill="1" applyBorder="1" applyAlignment="1" applyProtection="1">
      <alignment horizontal="center" vertical="center"/>
      <protection hidden="1"/>
    </xf>
    <xf numFmtId="4" fontId="9" fillId="0" borderId="10" xfId="0" applyNumberFormat="1" applyFont="1" applyFill="1" applyBorder="1" applyAlignment="1" applyProtection="1">
      <alignment horizontal="center" vertical="center"/>
      <protection hidden="1"/>
    </xf>
    <xf numFmtId="4" fontId="14" fillId="0" borderId="11" xfId="0" applyNumberFormat="1" applyFont="1" applyFill="1" applyBorder="1" applyAlignment="1" applyProtection="1">
      <alignment horizontal="center" vertical="center"/>
      <protection hidden="1"/>
    </xf>
    <xf numFmtId="4" fontId="14" fillId="0" borderId="11" xfId="0" applyNumberFormat="1" applyFont="1" applyFill="1" applyBorder="1" applyAlignment="1">
      <alignment horizontal="center" vertical="center"/>
    </xf>
    <xf numFmtId="0" fontId="4" fillId="56" borderId="10" xfId="0" applyNumberFormat="1" applyFont="1" applyFill="1" applyBorder="1" applyAlignment="1">
      <alignment horizontal="center" vertical="center"/>
    </xf>
    <xf numFmtId="0" fontId="4" fillId="56" borderId="16" xfId="0" applyNumberFormat="1" applyFont="1" applyFill="1" applyBorder="1" applyAlignment="1">
      <alignment horizontal="center" vertical="center"/>
    </xf>
    <xf numFmtId="0" fontId="2" fillId="0" borderId="0" xfId="269" applyFont="1" applyAlignment="1">
      <alignment horizontal="center"/>
    </xf>
    <xf numFmtId="0" fontId="51" fillId="0" borderId="0" xfId="269" applyFont="1" applyBorder="1" applyAlignment="1">
      <alignment horizontal="center"/>
    </xf>
    <xf numFmtId="0" fontId="34" fillId="0" borderId="0" xfId="269" applyFont="1" applyBorder="1" applyAlignment="1">
      <alignment horizontal="center" vertical="center"/>
    </xf>
    <xf numFmtId="0" fontId="4" fillId="46" borderId="10" xfId="269" applyFont="1" applyFill="1" applyBorder="1" applyAlignment="1">
      <alignment horizontal="center" vertical="center"/>
    </xf>
    <xf numFmtId="0" fontId="14" fillId="46" borderId="10" xfId="269" applyFont="1" applyFill="1" applyBorder="1" applyAlignment="1">
      <alignment horizontal="center" vertical="center" wrapText="1"/>
    </xf>
    <xf numFmtId="0" fontId="4" fillId="0" borderId="10" xfId="0"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4" fillId="0" borderId="12" xfId="0" applyFont="1" applyFill="1" applyBorder="1" applyAlignment="1">
      <alignment horizontal="left" vertical="center"/>
    </xf>
    <xf numFmtId="0" fontId="4" fillId="0" borderId="17" xfId="0" applyFont="1" applyFill="1" applyBorder="1" applyAlignment="1">
      <alignment horizontal="left" vertical="center"/>
    </xf>
    <xf numFmtId="0" fontId="4" fillId="0" borderId="18" xfId="0" applyFont="1" applyFill="1" applyBorder="1" applyAlignment="1">
      <alignment horizontal="left" vertical="center"/>
    </xf>
    <xf numFmtId="0" fontId="4" fillId="0" borderId="0" xfId="0" applyFont="1" applyFill="1" applyBorder="1" applyAlignment="1">
      <alignment horizontal="left" vertical="center"/>
    </xf>
    <xf numFmtId="0" fontId="14" fillId="52" borderId="10" xfId="0" applyFont="1" applyFill="1" applyBorder="1" applyAlignment="1">
      <alignment horizontal="center" vertical="center"/>
    </xf>
    <xf numFmtId="0" fontId="14" fillId="52" borderId="13" xfId="0" applyFont="1" applyFill="1" applyBorder="1" applyAlignment="1">
      <alignment horizontal="center" vertical="center"/>
    </xf>
    <xf numFmtId="0" fontId="14" fillId="52" borderId="30" xfId="0" applyFont="1" applyFill="1" applyBorder="1" applyAlignment="1">
      <alignment horizontal="center" vertical="center"/>
    </xf>
    <xf numFmtId="0" fontId="14" fillId="52" borderId="31" xfId="0" applyFont="1" applyFill="1" applyBorder="1" applyAlignment="1">
      <alignment horizontal="center" vertical="center"/>
    </xf>
    <xf numFmtId="0" fontId="14" fillId="52" borderId="19" xfId="0" applyFont="1" applyFill="1" applyBorder="1" applyAlignment="1">
      <alignment horizontal="center" vertical="center"/>
    </xf>
    <xf numFmtId="0" fontId="4" fillId="55" borderId="13" xfId="0" applyFont="1" applyFill="1" applyBorder="1" applyAlignment="1">
      <alignment horizontal="center" vertical="center" wrapText="1"/>
    </xf>
    <xf numFmtId="0" fontId="4" fillId="55" borderId="30" xfId="0" applyFont="1" applyFill="1" applyBorder="1" applyAlignment="1">
      <alignment horizontal="center" vertical="center" wrapText="1"/>
    </xf>
    <xf numFmtId="0" fontId="14" fillId="39" borderId="12" xfId="0" applyFont="1" applyFill="1" applyBorder="1" applyAlignment="1">
      <alignment horizontal="center" vertical="center"/>
    </xf>
    <xf numFmtId="0" fontId="14" fillId="39" borderId="18" xfId="0"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0" xfId="0" applyFont="1" applyFill="1" applyBorder="1" applyAlignment="1">
      <alignment horizontal="left" vertical="center" wrapText="1"/>
    </xf>
    <xf numFmtId="0" fontId="4" fillId="0" borderId="17" xfId="0" applyFont="1" applyBorder="1" applyAlignment="1">
      <alignment horizontal="left" vertical="center"/>
    </xf>
    <xf numFmtId="0" fontId="4" fillId="0" borderId="10" xfId="0" applyFont="1" applyFill="1" applyBorder="1" applyAlignment="1">
      <alignment horizontal="left" vertical="center"/>
    </xf>
    <xf numFmtId="0" fontId="14" fillId="53" borderId="10" xfId="0" applyFont="1" applyFill="1" applyBorder="1" applyAlignment="1">
      <alignment horizontal="center" vertical="center" wrapText="1"/>
    </xf>
    <xf numFmtId="0" fontId="14" fillId="39" borderId="10"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8" xfId="0" applyFont="1" applyFill="1" applyBorder="1" applyAlignment="1">
      <alignment horizontal="center" vertical="center"/>
    </xf>
    <xf numFmtId="9" fontId="4" fillId="0" borderId="10" xfId="0" applyNumberFormat="1" applyFont="1" applyBorder="1" applyAlignment="1">
      <alignment horizontal="center" vertical="center"/>
    </xf>
    <xf numFmtId="0" fontId="14" fillId="39" borderId="12" xfId="0" applyFont="1" applyFill="1" applyBorder="1" applyAlignment="1">
      <alignment horizontal="center" vertical="center" wrapText="1"/>
    </xf>
    <xf numFmtId="0" fontId="14" fillId="39" borderId="18" xfId="0" applyFont="1" applyFill="1" applyBorder="1" applyAlignment="1">
      <alignment horizontal="center" vertical="center" wrapText="1"/>
    </xf>
    <xf numFmtId="0" fontId="14" fillId="39" borderId="17" xfId="0" applyFont="1" applyFill="1" applyBorder="1" applyAlignment="1">
      <alignment horizontal="center" vertical="center" wrapText="1"/>
    </xf>
    <xf numFmtId="0" fontId="14" fillId="39" borderId="17" xfId="0" applyFont="1" applyFill="1" applyBorder="1" applyAlignment="1">
      <alignment horizontal="center" vertical="center"/>
    </xf>
    <xf numFmtId="0" fontId="14" fillId="0" borderId="10" xfId="0" applyFont="1" applyFill="1" applyBorder="1" applyAlignment="1">
      <alignment horizontal="center" vertical="center"/>
    </xf>
    <xf numFmtId="0" fontId="7" fillId="0" borderId="21" xfId="0" applyFont="1" applyBorder="1" applyAlignment="1">
      <alignment horizontal="center" vertical="center" wrapText="1"/>
    </xf>
    <xf numFmtId="0" fontId="18" fillId="0" borderId="15"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4" fillId="48" borderId="11" xfId="0" applyFont="1" applyFill="1" applyBorder="1" applyAlignment="1">
      <alignment horizontal="center" vertical="center" wrapText="1"/>
    </xf>
    <xf numFmtId="0" fontId="14" fillId="48" borderId="10" xfId="0" applyFont="1" applyFill="1" applyBorder="1" applyAlignment="1">
      <alignment horizontal="center" vertical="center" wrapText="1"/>
    </xf>
    <xf numFmtId="0" fontId="4" fillId="46" borderId="13" xfId="0" applyFont="1" applyFill="1" applyBorder="1" applyAlignment="1">
      <alignment horizontal="left" vertical="center"/>
    </xf>
    <xf numFmtId="0" fontId="4" fillId="46" borderId="20" xfId="0" applyFont="1" applyFill="1" applyBorder="1" applyAlignment="1">
      <alignment horizontal="left" vertical="center"/>
    </xf>
    <xf numFmtId="0" fontId="4" fillId="46" borderId="30" xfId="0" applyFont="1" applyFill="1" applyBorder="1" applyAlignment="1">
      <alignment horizontal="left" vertical="center"/>
    </xf>
    <xf numFmtId="0" fontId="4" fillId="46" borderId="14" xfId="0" applyFont="1" applyFill="1" applyBorder="1" applyAlignment="1">
      <alignment horizontal="left" vertical="center"/>
    </xf>
    <xf numFmtId="0" fontId="4" fillId="46" borderId="0" xfId="0" applyFont="1" applyFill="1" applyBorder="1" applyAlignment="1">
      <alignment horizontal="left" vertical="center"/>
    </xf>
    <xf numFmtId="0" fontId="4" fillId="46" borderId="25" xfId="0" applyFont="1" applyFill="1" applyBorder="1" applyAlignment="1">
      <alignment horizontal="left" vertical="center"/>
    </xf>
    <xf numFmtId="0" fontId="4" fillId="0" borderId="10" xfId="0" applyFont="1" applyBorder="1" applyAlignment="1">
      <alignment vertical="center"/>
    </xf>
    <xf numFmtId="9" fontId="4" fillId="0" borderId="0" xfId="0" applyNumberFormat="1" applyFont="1" applyFill="1" applyBorder="1" applyAlignment="1">
      <alignment horizontal="center" vertical="center"/>
    </xf>
    <xf numFmtId="0" fontId="4" fillId="0" borderId="10" xfId="0" applyFont="1" applyBorder="1" applyAlignment="1">
      <alignment horizontal="center" vertical="center" wrapText="1"/>
    </xf>
    <xf numFmtId="0" fontId="0" fillId="0" borderId="10" xfId="0" applyBorder="1"/>
    <xf numFmtId="0" fontId="4" fillId="46" borderId="31" xfId="0" applyFont="1" applyFill="1" applyBorder="1" applyAlignment="1">
      <alignment horizontal="left" vertical="center"/>
    </xf>
    <xf numFmtId="0" fontId="4" fillId="46" borderId="28" xfId="0" applyFont="1" applyFill="1" applyBorder="1" applyAlignment="1">
      <alignment horizontal="left" vertical="center"/>
    </xf>
    <xf numFmtId="0" fontId="4" fillId="46" borderId="19" xfId="0" applyFont="1" applyFill="1" applyBorder="1" applyAlignment="1">
      <alignment horizontal="left" vertical="center"/>
    </xf>
    <xf numFmtId="10" fontId="4" fillId="0" borderId="12" xfId="0" applyNumberFormat="1" applyFont="1" applyBorder="1" applyAlignment="1">
      <alignment horizontal="center" vertical="center"/>
    </xf>
    <xf numFmtId="10" fontId="4" fillId="0" borderId="13" xfId="0" applyNumberFormat="1" applyFont="1" applyBorder="1" applyAlignment="1">
      <alignment horizontal="center" vertical="center"/>
    </xf>
    <xf numFmtId="10" fontId="4" fillId="0" borderId="10" xfId="0" applyNumberFormat="1" applyFont="1" applyBorder="1" applyAlignment="1">
      <alignment horizontal="center" vertical="center"/>
    </xf>
    <xf numFmtId="10" fontId="4" fillId="0" borderId="18" xfId="0" applyNumberFormat="1" applyFont="1" applyBorder="1" applyAlignment="1">
      <alignment horizontal="center" vertical="center"/>
    </xf>
    <xf numFmtId="0" fontId="14" fillId="48" borderId="13" xfId="0" applyFont="1" applyFill="1" applyBorder="1" applyAlignment="1">
      <alignment horizontal="center" vertical="center" wrapText="1"/>
    </xf>
    <xf numFmtId="0" fontId="14" fillId="48" borderId="20" xfId="0" applyFont="1" applyFill="1" applyBorder="1" applyAlignment="1">
      <alignment horizontal="center" vertical="center" wrapText="1"/>
    </xf>
    <xf numFmtId="0" fontId="14" fillId="48" borderId="30" xfId="0" applyFont="1" applyFill="1" applyBorder="1" applyAlignment="1">
      <alignment horizontal="center" vertical="center" wrapText="1"/>
    </xf>
    <xf numFmtId="0" fontId="14" fillId="48" borderId="31" xfId="0" applyFont="1" applyFill="1" applyBorder="1" applyAlignment="1">
      <alignment horizontal="center" vertical="center" wrapText="1"/>
    </xf>
    <xf numFmtId="0" fontId="14" fillId="48" borderId="28" xfId="0" applyFont="1" applyFill="1" applyBorder="1" applyAlignment="1">
      <alignment horizontal="center" vertical="center" wrapText="1"/>
    </xf>
    <xf numFmtId="0" fontId="14" fillId="48" borderId="19" xfId="0" applyFont="1" applyFill="1" applyBorder="1" applyAlignment="1">
      <alignment horizontal="center" vertical="center" wrapText="1"/>
    </xf>
    <xf numFmtId="0" fontId="14" fillId="48" borderId="16" xfId="0" applyFont="1" applyFill="1" applyBorder="1" applyAlignment="1">
      <alignment horizontal="center" vertical="center" wrapText="1"/>
    </xf>
    <xf numFmtId="10" fontId="4" fillId="0" borderId="20" xfId="0" applyNumberFormat="1" applyFont="1" applyBorder="1" applyAlignment="1">
      <alignment horizontal="center" vertical="center"/>
    </xf>
    <xf numFmtId="10" fontId="4" fillId="0" borderId="30" xfId="0" applyNumberFormat="1" applyFont="1" applyBorder="1" applyAlignment="1">
      <alignment horizontal="center" vertical="center"/>
    </xf>
    <xf numFmtId="10" fontId="4" fillId="0" borderId="31" xfId="0" applyNumberFormat="1" applyFont="1" applyBorder="1" applyAlignment="1">
      <alignment horizontal="center" vertical="center"/>
    </xf>
    <xf numFmtId="10" fontId="4" fillId="0" borderId="28" xfId="0" applyNumberFormat="1" applyFont="1" applyBorder="1" applyAlignment="1">
      <alignment horizontal="center" vertical="center"/>
    </xf>
    <xf numFmtId="10" fontId="4" fillId="0" borderId="19" xfId="0" applyNumberFormat="1" applyFont="1" applyBorder="1" applyAlignment="1">
      <alignment horizontal="center" vertical="center"/>
    </xf>
    <xf numFmtId="0" fontId="4" fillId="55" borderId="14"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46" borderId="15" xfId="0" applyFont="1" applyFill="1" applyBorder="1" applyAlignment="1">
      <alignment horizontal="center" vertical="center" wrapText="1"/>
    </xf>
    <xf numFmtId="0" fontId="4" fillId="55" borderId="25" xfId="0" applyFont="1" applyFill="1" applyBorder="1" applyAlignment="1">
      <alignment horizontal="center" vertical="center" wrapText="1"/>
    </xf>
    <xf numFmtId="0" fontId="14" fillId="52" borderId="12" xfId="0" applyFont="1" applyFill="1" applyBorder="1" applyAlignment="1">
      <alignment horizontal="center" vertical="center" wrapText="1"/>
    </xf>
    <xf numFmtId="0" fontId="14" fillId="52" borderId="17" xfId="0" applyFont="1" applyFill="1" applyBorder="1" applyAlignment="1">
      <alignment horizontal="center" vertical="center" wrapText="1"/>
    </xf>
    <xf numFmtId="0" fontId="14" fillId="52" borderId="18" xfId="0" applyFont="1" applyFill="1" applyBorder="1" applyAlignment="1">
      <alignment horizontal="center" vertical="center" wrapText="1"/>
    </xf>
    <xf numFmtId="0" fontId="14" fillId="48" borderId="10" xfId="0" applyFont="1" applyFill="1" applyBorder="1" applyAlignment="1">
      <alignment horizontal="center" vertical="center"/>
    </xf>
    <xf numFmtId="0" fontId="14" fillId="0" borderId="10" xfId="0" applyFont="1" applyBorder="1" applyAlignment="1">
      <alignment horizontal="left" vertical="center"/>
    </xf>
    <xf numFmtId="0" fontId="14" fillId="48" borderId="16" xfId="0" applyFont="1" applyFill="1" applyBorder="1" applyAlignment="1">
      <alignment horizontal="center" vertical="center"/>
    </xf>
    <xf numFmtId="0" fontId="7" fillId="0" borderId="21" xfId="0" applyFont="1" applyBorder="1" applyAlignment="1">
      <alignment horizontal="right" vertical="center" wrapText="1"/>
    </xf>
    <xf numFmtId="0" fontId="4" fillId="0" borderId="10" xfId="0" applyFont="1" applyBorder="1" applyAlignment="1">
      <alignment horizontal="center" vertical="center"/>
    </xf>
    <xf numFmtId="0" fontId="14" fillId="52" borderId="10" xfId="0" applyFont="1" applyFill="1" applyBorder="1" applyAlignment="1">
      <alignment horizontal="center" vertical="center" wrapText="1"/>
    </xf>
    <xf numFmtId="0" fontId="14" fillId="52" borderId="20" xfId="0" applyFont="1" applyFill="1" applyBorder="1" applyAlignment="1">
      <alignment horizontal="center" vertical="center"/>
    </xf>
    <xf numFmtId="0" fontId="14" fillId="52" borderId="28"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4" fillId="0" borderId="13" xfId="0" applyFont="1" applyFill="1" applyBorder="1" applyAlignment="1">
      <alignment horizontal="left" vertical="center"/>
    </xf>
    <xf numFmtId="0" fontId="4" fillId="0" borderId="20" xfId="0" applyFont="1" applyFill="1" applyBorder="1" applyAlignment="1">
      <alignment horizontal="left" vertical="center"/>
    </xf>
    <xf numFmtId="0" fontId="4" fillId="0" borderId="30" xfId="0" applyFont="1" applyFill="1" applyBorder="1" applyAlignment="1">
      <alignment horizontal="left" vertical="center"/>
    </xf>
    <xf numFmtId="0" fontId="14" fillId="52" borderId="12" xfId="0" applyFont="1" applyFill="1" applyBorder="1" applyAlignment="1">
      <alignment horizontal="center" vertical="center"/>
    </xf>
    <xf numFmtId="0" fontId="14" fillId="52" borderId="17" xfId="0" applyFont="1" applyFill="1" applyBorder="1" applyAlignment="1">
      <alignment horizontal="center" vertical="center"/>
    </xf>
    <xf numFmtId="0" fontId="14" fillId="52" borderId="18" xfId="0" applyFont="1" applyFill="1" applyBorder="1" applyAlignment="1">
      <alignment horizontal="center" vertical="center"/>
    </xf>
    <xf numFmtId="10" fontId="4" fillId="0" borderId="10" xfId="0" applyNumberFormat="1" applyFont="1" applyFill="1" applyBorder="1" applyAlignment="1">
      <alignment horizontal="center" vertical="center"/>
    </xf>
    <xf numFmtId="0" fontId="14" fillId="48" borderId="13" xfId="0" applyFont="1" applyFill="1" applyBorder="1" applyAlignment="1">
      <alignment horizontal="center" vertical="center"/>
    </xf>
    <xf numFmtId="0" fontId="14" fillId="48" borderId="31" xfId="0" applyFont="1" applyFill="1" applyBorder="1" applyAlignment="1">
      <alignment horizontal="center" vertical="center"/>
    </xf>
    <xf numFmtId="0" fontId="4" fillId="0" borderId="31" xfId="0" applyFont="1" applyFill="1" applyBorder="1" applyAlignment="1">
      <alignment horizontal="left" vertical="center"/>
    </xf>
    <xf numFmtId="0" fontId="4" fillId="0" borderId="28" xfId="0" applyFont="1" applyFill="1" applyBorder="1" applyAlignment="1">
      <alignment horizontal="left" vertical="center"/>
    </xf>
    <xf numFmtId="0" fontId="4" fillId="0" borderId="19" xfId="0" applyFont="1" applyFill="1" applyBorder="1" applyAlignment="1">
      <alignment horizontal="left" vertical="center"/>
    </xf>
    <xf numFmtId="0" fontId="4" fillId="0" borderId="10" xfId="0" applyFont="1" applyFill="1" applyBorder="1" applyAlignment="1">
      <alignment horizontal="center" vertical="center" wrapText="1"/>
    </xf>
    <xf numFmtId="0" fontId="14" fillId="0" borderId="31" xfId="0" applyFont="1" applyFill="1" applyBorder="1" applyAlignment="1">
      <alignment horizontal="left" vertical="center" wrapText="1"/>
    </xf>
    <xf numFmtId="0" fontId="14" fillId="0" borderId="28"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16" xfId="0" applyFont="1" applyFill="1" applyBorder="1" applyAlignment="1">
      <alignment horizontal="center" vertical="center"/>
    </xf>
    <xf numFmtId="0" fontId="14" fillId="0" borderId="30"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5" fillId="0" borderId="0" xfId="239" applyFill="1" applyAlignment="1">
      <alignment horizontal="left"/>
    </xf>
    <xf numFmtId="0" fontId="4" fillId="52" borderId="10" xfId="0" applyFont="1" applyFill="1" applyBorder="1" applyAlignment="1">
      <alignment horizontal="center" vertical="center" wrapText="1"/>
    </xf>
    <xf numFmtId="0" fontId="14" fillId="48" borderId="30" xfId="0" applyFont="1" applyFill="1" applyBorder="1" applyAlignment="1">
      <alignment horizontal="center" vertical="center"/>
    </xf>
    <xf numFmtId="0" fontId="14" fillId="48" borderId="19" xfId="0" applyFont="1" applyFill="1" applyBorder="1" applyAlignment="1">
      <alignment horizontal="center" vertical="center"/>
    </xf>
    <xf numFmtId="0" fontId="4" fillId="47" borderId="10" xfId="0" applyFont="1" applyFill="1" applyBorder="1" applyAlignment="1">
      <alignment horizontal="left" vertical="center"/>
    </xf>
    <xf numFmtId="0" fontId="4" fillId="0" borderId="13"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4" fillId="0" borderId="12" xfId="0" applyFont="1" applyFill="1" applyBorder="1" applyAlignment="1">
      <alignment horizontal="left" vertical="center"/>
    </xf>
    <xf numFmtId="0" fontId="14" fillId="0" borderId="17" xfId="0" applyFont="1" applyFill="1" applyBorder="1" applyAlignment="1">
      <alignment horizontal="left" vertical="center"/>
    </xf>
    <xf numFmtId="0" fontId="14" fillId="0" borderId="18" xfId="0" applyFont="1" applyFill="1" applyBorder="1" applyAlignment="1">
      <alignment horizontal="left" vertical="center"/>
    </xf>
    <xf numFmtId="0" fontId="4" fillId="0" borderId="31" xfId="0" applyFont="1" applyFill="1" applyBorder="1" applyAlignment="1">
      <alignment horizontal="left" vertical="center" wrapText="1"/>
    </xf>
    <xf numFmtId="0" fontId="4" fillId="0" borderId="2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10" xfId="0" applyNumberFormat="1" applyFont="1" applyFill="1" applyBorder="1" applyAlignment="1">
      <alignment horizontal="left" vertical="center" wrapText="1"/>
    </xf>
    <xf numFmtId="0" fontId="14" fillId="55" borderId="16" xfId="0" applyFont="1" applyFill="1" applyBorder="1" applyAlignment="1">
      <alignment horizontal="center" vertical="center" wrapText="1"/>
    </xf>
    <xf numFmtId="0" fontId="5" fillId="0" borderId="0" xfId="239" applyAlignment="1">
      <alignment horizontal="left"/>
    </xf>
    <xf numFmtId="0" fontId="7" fillId="0" borderId="21" xfId="0" applyFont="1" applyBorder="1" applyAlignment="1">
      <alignment horizontal="center" vertical="center"/>
    </xf>
    <xf numFmtId="0" fontId="4" fillId="0" borderId="10" xfId="0" applyFont="1" applyFill="1" applyBorder="1" applyAlignment="1">
      <alignment vertical="center" wrapText="1"/>
    </xf>
    <xf numFmtId="0" fontId="4" fillId="0" borderId="1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0" xfId="0" applyNumberFormat="1" applyFont="1" applyFill="1" applyBorder="1" applyAlignment="1">
      <alignment horizontal="center" vertical="center" wrapText="1"/>
    </xf>
    <xf numFmtId="0" fontId="4" fillId="0" borderId="1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3"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3" xfId="0" applyFont="1" applyBorder="1" applyAlignment="1">
      <alignment horizontal="left" vertical="center" wrapText="1"/>
    </xf>
    <xf numFmtId="0" fontId="4" fillId="0" borderId="30" xfId="0" applyFont="1" applyBorder="1" applyAlignment="1">
      <alignment horizontal="left" vertical="center" wrapText="1"/>
    </xf>
    <xf numFmtId="0" fontId="4" fillId="0" borderId="31" xfId="0" applyFont="1" applyBorder="1" applyAlignment="1">
      <alignment horizontal="left" vertical="center" wrapText="1"/>
    </xf>
    <xf numFmtId="0" fontId="4" fillId="0" borderId="19" xfId="0" applyFont="1" applyBorder="1" applyAlignment="1">
      <alignment horizontal="left" vertical="center" wrapText="1"/>
    </xf>
    <xf numFmtId="0" fontId="4" fillId="0" borderId="11" xfId="0" applyFont="1" applyBorder="1" applyAlignment="1">
      <alignment horizontal="center" vertical="center"/>
    </xf>
    <xf numFmtId="0" fontId="4" fillId="0" borderId="16" xfId="0" applyFont="1" applyBorder="1" applyAlignment="1">
      <alignment horizontal="center" vertical="center"/>
    </xf>
    <xf numFmtId="0" fontId="4" fillId="0" borderId="12"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0" xfId="0" applyFont="1" applyBorder="1" applyAlignment="1">
      <alignment horizontal="left" vertical="center"/>
    </xf>
    <xf numFmtId="14" fontId="4" fillId="0" borderId="21" xfId="0" applyNumberFormat="1" applyFont="1" applyBorder="1" applyAlignment="1">
      <alignment horizontal="center" vertical="center"/>
    </xf>
    <xf numFmtId="0" fontId="9" fillId="53"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9" fillId="0" borderId="10" xfId="0" applyNumberFormat="1" applyFont="1" applyFill="1" applyBorder="1" applyAlignment="1">
      <alignment horizontal="center" vertical="center" wrapText="1"/>
    </xf>
    <xf numFmtId="0" fontId="14" fillId="0" borderId="10" xfId="0"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4" fillId="0" borderId="11" xfId="0" applyFont="1" applyBorder="1" applyAlignment="1">
      <alignment horizontal="center"/>
    </xf>
    <xf numFmtId="0" fontId="4" fillId="0" borderId="16" xfId="0" applyFont="1" applyBorder="1" applyAlignment="1">
      <alignment horizontal="center"/>
    </xf>
    <xf numFmtId="0" fontId="2" fillId="0" borderId="13" xfId="0" applyFont="1" applyBorder="1" applyAlignment="1">
      <alignment horizontal="left" vertical="center" wrapText="1"/>
    </xf>
    <xf numFmtId="0" fontId="2" fillId="0" borderId="30" xfId="0" applyFont="1" applyBorder="1" applyAlignment="1">
      <alignment horizontal="left" vertical="center" wrapText="1"/>
    </xf>
    <xf numFmtId="0" fontId="14" fillId="0" borderId="12"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2" fillId="0" borderId="20" xfId="0" applyFont="1" applyBorder="1" applyAlignment="1">
      <alignment horizontal="left" vertical="center" wrapText="1"/>
    </xf>
    <xf numFmtId="0" fontId="14" fillId="0" borderId="10" xfId="0" applyFont="1" applyBorder="1" applyAlignment="1">
      <alignment horizontal="left" vertical="center" wrapText="1"/>
    </xf>
    <xf numFmtId="0" fontId="4" fillId="0" borderId="15"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14" fillId="48" borderId="12" xfId="0" applyFont="1" applyFill="1" applyBorder="1" applyAlignment="1">
      <alignment horizontal="center" vertical="center"/>
    </xf>
    <xf numFmtId="0" fontId="14" fillId="48" borderId="18" xfId="0" applyFont="1" applyFill="1" applyBorder="1" applyAlignment="1">
      <alignment horizontal="center" vertical="center"/>
    </xf>
    <xf numFmtId="0" fontId="5" fillId="0" borderId="0" xfId="240" applyAlignment="1">
      <alignment horizontal="left"/>
    </xf>
    <xf numFmtId="0" fontId="7" fillId="0" borderId="21" xfId="0" applyFont="1" applyFill="1" applyBorder="1" applyAlignment="1">
      <alignment horizontal="center" wrapText="1"/>
    </xf>
    <xf numFmtId="0" fontId="4" fillId="0" borderId="10" xfId="0" applyFont="1" applyBorder="1" applyAlignment="1">
      <alignment horizontal="center"/>
    </xf>
    <xf numFmtId="0" fontId="2" fillId="0" borderId="13" xfId="0" applyFont="1" applyBorder="1" applyAlignment="1">
      <alignment horizontal="center" vertical="center" wrapText="1"/>
    </xf>
    <xf numFmtId="0" fontId="2" fillId="0" borderId="11"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15" xfId="0" applyFont="1" applyBorder="1" applyAlignment="1">
      <alignment horizontal="center"/>
    </xf>
    <xf numFmtId="0" fontId="2" fillId="0" borderId="15" xfId="0" applyFont="1" applyBorder="1" applyAlignment="1">
      <alignment horizontal="center" vertical="center" wrapText="1"/>
    </xf>
    <xf numFmtId="0" fontId="9" fillId="46" borderId="16"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9" fillId="46" borderId="10" xfId="0" applyFont="1" applyFill="1" applyBorder="1" applyAlignment="1">
      <alignment horizontal="center" vertical="center"/>
    </xf>
    <xf numFmtId="0" fontId="14" fillId="0" borderId="17"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4" fillId="0" borderId="30" xfId="0" applyFont="1" applyFill="1" applyBorder="1" applyAlignment="1">
      <alignment horizontal="left" vertical="center" wrapText="1"/>
    </xf>
    <xf numFmtId="0" fontId="14" fillId="52" borderId="11" xfId="0" applyFont="1" applyFill="1" applyBorder="1" applyAlignment="1">
      <alignment horizontal="center" vertical="center" wrapText="1"/>
    </xf>
    <xf numFmtId="0" fontId="14" fillId="52" borderId="16" xfId="0" applyFont="1" applyFill="1" applyBorder="1" applyAlignment="1">
      <alignment horizontal="center" vertical="center" wrapText="1"/>
    </xf>
    <xf numFmtId="0" fontId="14" fillId="39" borderId="11" xfId="0" applyFont="1" applyFill="1" applyBorder="1" applyAlignment="1">
      <alignment horizontal="center" vertical="center" wrapText="1"/>
    </xf>
    <xf numFmtId="0" fontId="9" fillId="39" borderId="12" xfId="0" applyFont="1" applyFill="1" applyBorder="1" applyAlignment="1">
      <alignment horizontal="center" vertical="center" wrapText="1"/>
    </xf>
    <xf numFmtId="0" fontId="9" fillId="39" borderId="18" xfId="0" applyFont="1" applyFill="1" applyBorder="1" applyAlignment="1">
      <alignment horizontal="center" vertical="center" wrapText="1"/>
    </xf>
    <xf numFmtId="0" fontId="14" fillId="52" borderId="13" xfId="0" applyFont="1" applyFill="1" applyBorder="1" applyAlignment="1">
      <alignment horizontal="center" vertical="center" wrapText="1"/>
    </xf>
    <xf numFmtId="0" fontId="14" fillId="52" borderId="20" xfId="0" applyFont="1" applyFill="1" applyBorder="1" applyAlignment="1">
      <alignment horizontal="center" vertical="center" wrapText="1"/>
    </xf>
    <xf numFmtId="0" fontId="14" fillId="52" borderId="30" xfId="0" applyFont="1" applyFill="1" applyBorder="1" applyAlignment="1">
      <alignment horizontal="center" vertical="center" wrapText="1"/>
    </xf>
    <xf numFmtId="4" fontId="14" fillId="0" borderId="12" xfId="0" applyNumberFormat="1" applyFont="1" applyFill="1" applyBorder="1" applyAlignment="1">
      <alignment horizontal="center" vertical="center"/>
    </xf>
    <xf numFmtId="4" fontId="14" fillId="0" borderId="18" xfId="0" applyNumberFormat="1" applyFont="1" applyFill="1" applyBorder="1" applyAlignment="1">
      <alignment horizontal="center" vertical="center"/>
    </xf>
    <xf numFmtId="0" fontId="9" fillId="52" borderId="10" xfId="0" applyFont="1" applyFill="1" applyBorder="1" applyAlignment="1">
      <alignment horizontal="center" vertical="center" wrapText="1"/>
    </xf>
    <xf numFmtId="0" fontId="14" fillId="52" borderId="18" xfId="0" applyNumberFormat="1" applyFont="1" applyFill="1" applyBorder="1" applyAlignment="1">
      <alignment horizontal="center" vertical="center" wrapText="1"/>
    </xf>
    <xf numFmtId="0" fontId="14" fillId="0" borderId="0" xfId="0" applyFont="1" applyBorder="1" applyAlignment="1">
      <alignment horizontal="left" vertical="center" wrapText="1"/>
    </xf>
    <xf numFmtId="4" fontId="4" fillId="0" borderId="10" xfId="0" applyNumberFormat="1" applyFont="1" applyFill="1" applyBorder="1" applyAlignment="1">
      <alignment horizontal="center" vertical="center" wrapText="1"/>
    </xf>
    <xf numFmtId="0" fontId="14" fillId="0" borderId="0" xfId="0" applyFont="1" applyFill="1" applyBorder="1" applyAlignment="1">
      <alignment horizontal="left" vertical="center" wrapText="1"/>
    </xf>
    <xf numFmtId="0" fontId="25" fillId="0" borderId="0" xfId="239" applyFont="1" applyAlignment="1">
      <alignment horizontal="left"/>
    </xf>
    <xf numFmtId="0" fontId="7" fillId="0" borderId="21" xfId="0" applyFont="1" applyBorder="1" applyAlignment="1">
      <alignment horizontal="center" wrapText="1"/>
    </xf>
    <xf numFmtId="4" fontId="4" fillId="0" borderId="11" xfId="0" applyNumberFormat="1"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16" xfId="0" applyFont="1" applyBorder="1" applyAlignment="1">
      <alignment horizontal="left" vertical="center" wrapText="1"/>
    </xf>
    <xf numFmtId="2" fontId="4" fillId="0" borderId="11" xfId="0" applyNumberFormat="1" applyFont="1" applyFill="1" applyBorder="1" applyAlignment="1">
      <alignment horizontal="center" vertical="center" wrapText="1"/>
    </xf>
    <xf numFmtId="2" fontId="4" fillId="0" borderId="16" xfId="0" applyNumberFormat="1" applyFont="1" applyFill="1" applyBorder="1" applyAlignment="1">
      <alignment horizontal="center" vertical="center" wrapText="1"/>
    </xf>
    <xf numFmtId="0" fontId="4" fillId="0" borderId="11" xfId="0" applyFont="1" applyFill="1" applyBorder="1" applyAlignment="1">
      <alignment horizontal="center"/>
    </xf>
    <xf numFmtId="0" fontId="4" fillId="0" borderId="16" xfId="0" applyFont="1" applyFill="1" applyBorder="1" applyAlignment="1">
      <alignment horizontal="center"/>
    </xf>
    <xf numFmtId="0" fontId="4" fillId="52" borderId="13" xfId="0" applyFont="1" applyFill="1" applyBorder="1" applyAlignment="1">
      <alignment horizontal="center" vertical="center"/>
    </xf>
    <xf numFmtId="0" fontId="4" fillId="52" borderId="30" xfId="0" applyFont="1" applyFill="1" applyBorder="1" applyAlignment="1">
      <alignment horizontal="center" vertical="center"/>
    </xf>
    <xf numFmtId="0" fontId="14" fillId="0" borderId="12"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1" xfId="0" applyFont="1" applyFill="1" applyBorder="1" applyAlignment="1">
      <alignment horizontal="left" vertical="center"/>
    </xf>
    <xf numFmtId="0" fontId="4" fillId="0" borderId="16" xfId="0" applyFont="1" applyFill="1" applyBorder="1" applyAlignment="1">
      <alignment horizontal="left" vertical="center"/>
    </xf>
    <xf numFmtId="0" fontId="14" fillId="47" borderId="14" xfId="0" applyFont="1" applyFill="1" applyBorder="1" applyAlignment="1">
      <alignment horizontal="center" vertical="center" wrapText="1"/>
    </xf>
    <xf numFmtId="0" fontId="14" fillId="47" borderId="31" xfId="0" applyFont="1" applyFill="1" applyBorder="1" applyAlignment="1">
      <alignment horizontal="center" vertical="center" wrapText="1"/>
    </xf>
    <xf numFmtId="0" fontId="4" fillId="47" borderId="31" xfId="0" applyFont="1" applyFill="1" applyBorder="1" applyAlignment="1">
      <alignment horizontal="center" vertical="center" wrapText="1"/>
    </xf>
    <xf numFmtId="0" fontId="4" fillId="47" borderId="19" xfId="0" applyFont="1" applyFill="1" applyBorder="1" applyAlignment="1">
      <alignment horizontal="center" vertical="center" wrapText="1"/>
    </xf>
    <xf numFmtId="0" fontId="4" fillId="46" borderId="14" xfId="0" applyFont="1" applyFill="1" applyBorder="1" applyAlignment="1">
      <alignment horizontal="center" vertical="center" wrapText="1"/>
    </xf>
    <xf numFmtId="0" fontId="4" fillId="46" borderId="25" xfId="0" applyFont="1" applyFill="1" applyBorder="1" applyAlignment="1">
      <alignment horizontal="center" vertical="center" wrapText="1"/>
    </xf>
    <xf numFmtId="10" fontId="4" fillId="0" borderId="11" xfId="0" applyNumberFormat="1" applyFont="1" applyBorder="1" applyAlignment="1">
      <alignment horizontal="center" vertical="center"/>
    </xf>
    <xf numFmtId="10" fontId="4" fillId="0" borderId="16" xfId="0" applyNumberFormat="1" applyFont="1" applyBorder="1" applyAlignment="1">
      <alignment horizontal="center" vertical="center"/>
    </xf>
    <xf numFmtId="0" fontId="14" fillId="52" borderId="31" xfId="0" applyFont="1" applyFill="1" applyBorder="1" applyAlignment="1">
      <alignment horizontal="center" vertical="center" wrapText="1"/>
    </xf>
    <xf numFmtId="0" fontId="14" fillId="52" borderId="28" xfId="0" applyFont="1" applyFill="1" applyBorder="1" applyAlignment="1">
      <alignment horizontal="center" vertical="center" wrapText="1"/>
    </xf>
    <xf numFmtId="0" fontId="14" fillId="52" borderId="19" xfId="0" applyFont="1" applyFill="1" applyBorder="1" applyAlignment="1">
      <alignment horizontal="center" vertical="center" wrapText="1"/>
    </xf>
    <xf numFmtId="14" fontId="14" fillId="0" borderId="26" xfId="0" applyNumberFormat="1" applyFont="1" applyBorder="1" applyAlignment="1">
      <alignment horizontal="center"/>
    </xf>
    <xf numFmtId="0" fontId="4" fillId="0" borderId="0" xfId="0" applyFont="1" applyBorder="1" applyAlignment="1">
      <alignment horizontal="left" vertical="center"/>
    </xf>
    <xf numFmtId="0" fontId="4" fillId="0" borderId="12" xfId="0" applyNumberFormat="1" applyFont="1" applyFill="1" applyBorder="1" applyAlignment="1">
      <alignment horizontal="center" vertical="center"/>
    </xf>
    <xf numFmtId="0" fontId="4" fillId="0" borderId="18" xfId="0" applyNumberFormat="1" applyFont="1" applyFill="1" applyBorder="1" applyAlignment="1">
      <alignment horizontal="center" vertical="center"/>
    </xf>
    <xf numFmtId="0" fontId="14" fillId="39" borderId="16" xfId="0" applyFont="1" applyFill="1" applyBorder="1" applyAlignment="1">
      <alignment horizontal="center" vertical="center" wrapText="1"/>
    </xf>
    <xf numFmtId="14" fontId="14" fillId="0" borderId="0" xfId="0" applyNumberFormat="1" applyFont="1" applyFill="1" applyBorder="1" applyAlignment="1">
      <alignment horizontal="center"/>
    </xf>
    <xf numFmtId="0" fontId="4" fillId="0" borderId="17" xfId="0" applyFont="1" applyFill="1" applyBorder="1" applyAlignment="1">
      <alignment horizontal="center" vertical="center" wrapText="1"/>
    </xf>
    <xf numFmtId="0" fontId="4" fillId="0" borderId="17"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9" fillId="46" borderId="18"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6" xfId="0" applyFont="1" applyFill="1" applyBorder="1" applyAlignment="1">
      <alignment horizontal="center" vertical="center"/>
    </xf>
    <xf numFmtId="0" fontId="4" fillId="48" borderId="31" xfId="0" applyFont="1" applyFill="1" applyBorder="1" applyAlignment="1">
      <alignment horizontal="center" vertical="center"/>
    </xf>
    <xf numFmtId="0" fontId="4" fillId="48" borderId="10" xfId="0" applyFont="1" applyFill="1" applyBorder="1" applyAlignment="1">
      <alignment horizontal="center" vertical="center" wrapText="1"/>
    </xf>
    <xf numFmtId="0" fontId="4" fillId="48" borderId="10" xfId="0" applyFont="1" applyFill="1" applyBorder="1" applyAlignment="1">
      <alignment horizontal="center" vertical="center"/>
    </xf>
    <xf numFmtId="2" fontId="4" fillId="0" borderId="10" xfId="0" applyNumberFormat="1" applyFont="1" applyFill="1" applyBorder="1" applyAlignment="1">
      <alignment horizontal="center" vertical="center"/>
    </xf>
    <xf numFmtId="0" fontId="4" fillId="0" borderId="15" xfId="0" applyFont="1" applyBorder="1" applyAlignment="1">
      <alignment horizontal="center" vertical="center"/>
    </xf>
    <xf numFmtId="0" fontId="14" fillId="46" borderId="20" xfId="0" applyFont="1" applyFill="1" applyBorder="1" applyAlignment="1" applyProtection="1">
      <alignment horizontal="center" vertical="center" wrapText="1"/>
      <protection locked="0"/>
    </xf>
    <xf numFmtId="0" fontId="14" fillId="46" borderId="30" xfId="0" applyFont="1" applyFill="1" applyBorder="1" applyAlignment="1" applyProtection="1">
      <alignment horizontal="center" vertical="center" wrapText="1"/>
      <protection locked="0"/>
    </xf>
    <xf numFmtId="0" fontId="14" fillId="46" borderId="28" xfId="0" applyFont="1" applyFill="1" applyBorder="1" applyAlignment="1" applyProtection="1">
      <alignment horizontal="center" vertical="center" wrapText="1"/>
      <protection locked="0"/>
    </xf>
    <xf numFmtId="0" fontId="14" fillId="46" borderId="19" xfId="0" applyFont="1" applyFill="1" applyBorder="1" applyAlignment="1" applyProtection="1">
      <alignment horizontal="center" vertical="center" wrapText="1"/>
      <protection locked="0"/>
    </xf>
    <xf numFmtId="0" fontId="24" fillId="0" borderId="10" xfId="0" applyNumberFormat="1" applyFont="1" applyFill="1" applyBorder="1" applyAlignment="1">
      <alignment horizontal="center" vertical="center" wrapText="1"/>
    </xf>
    <xf numFmtId="0" fontId="4" fillId="52" borderId="10" xfId="0" applyNumberFormat="1" applyFont="1" applyFill="1" applyBorder="1" applyAlignment="1">
      <alignment horizontal="center" vertical="center" textRotation="90"/>
    </xf>
    <xf numFmtId="0" fontId="4" fillId="47" borderId="13" xfId="0" applyFont="1" applyFill="1" applyBorder="1" applyAlignment="1">
      <alignment horizontal="center" vertical="center"/>
    </xf>
    <xf numFmtId="0" fontId="4" fillId="47" borderId="30" xfId="0" applyFont="1" applyFill="1" applyBorder="1" applyAlignment="1">
      <alignment horizontal="center" vertical="center"/>
    </xf>
    <xf numFmtId="3" fontId="14" fillId="39" borderId="10" xfId="0" applyNumberFormat="1" applyFont="1" applyFill="1" applyBorder="1" applyAlignment="1" applyProtection="1">
      <alignment horizontal="center" vertical="center" wrapText="1"/>
      <protection hidden="1"/>
    </xf>
    <xf numFmtId="4" fontId="14" fillId="0" borderId="10" xfId="0" applyNumberFormat="1" applyFont="1" applyFill="1" applyBorder="1" applyAlignment="1" applyProtection="1">
      <alignment horizontal="center" vertical="center"/>
      <protection hidden="1"/>
    </xf>
    <xf numFmtId="14" fontId="2" fillId="0" borderId="21" xfId="0" applyNumberFormat="1" applyFont="1" applyBorder="1" applyAlignment="1">
      <alignment horizontal="center" vertical="center"/>
    </xf>
    <xf numFmtId="14" fontId="14" fillId="0" borderId="27" xfId="0" applyNumberFormat="1" applyFont="1" applyBorder="1" applyAlignment="1">
      <alignment horizontal="center"/>
    </xf>
    <xf numFmtId="0" fontId="27" fillId="52" borderId="10" xfId="0" applyNumberFormat="1" applyFont="1" applyFill="1" applyBorder="1" applyAlignment="1">
      <alignment horizontal="center" vertical="center" wrapText="1"/>
    </xf>
    <xf numFmtId="0" fontId="14" fillId="55" borderId="15" xfId="0" applyFont="1" applyFill="1" applyBorder="1" applyAlignment="1">
      <alignment horizontal="center" vertical="center" wrapText="1"/>
    </xf>
    <xf numFmtId="0" fontId="0" fillId="0" borderId="10" xfId="0" applyBorder="1" applyAlignment="1">
      <alignment horizontal="center" vertical="center" wrapText="1"/>
    </xf>
    <xf numFmtId="1" fontId="4" fillId="0" borderId="10" xfId="0" applyNumberFormat="1" applyFont="1" applyFill="1" applyBorder="1" applyAlignment="1">
      <alignment horizontal="center" vertical="center"/>
    </xf>
    <xf numFmtId="0" fontId="14" fillId="39" borderId="12" xfId="0" applyFont="1" applyFill="1" applyBorder="1" applyAlignment="1" applyProtection="1">
      <alignment horizontal="center" vertical="center"/>
      <protection hidden="1"/>
    </xf>
    <xf numFmtId="0" fontId="14" fillId="39" borderId="18" xfId="0" applyFont="1" applyFill="1" applyBorder="1" applyAlignment="1" applyProtection="1">
      <alignment horizontal="center" vertical="center"/>
      <protection hidden="1"/>
    </xf>
    <xf numFmtId="0" fontId="14" fillId="39" borderId="10" xfId="0" applyFont="1" applyFill="1" applyBorder="1" applyAlignment="1" applyProtection="1">
      <alignment horizontal="center" vertical="center"/>
      <protection hidden="1"/>
    </xf>
    <xf numFmtId="0" fontId="14" fillId="52" borderId="10" xfId="0" applyFont="1" applyFill="1" applyBorder="1" applyAlignment="1">
      <alignment horizontal="left" vertical="center" wrapText="1"/>
    </xf>
    <xf numFmtId="0" fontId="0" fillId="0" borderId="13" xfId="0" applyFill="1" applyBorder="1" applyAlignment="1">
      <alignment horizontal="center" vertical="center"/>
    </xf>
    <xf numFmtId="0" fontId="0" fillId="0" borderId="20" xfId="0" applyFill="1" applyBorder="1" applyAlignment="1">
      <alignment horizontal="center" vertical="center"/>
    </xf>
    <xf numFmtId="0" fontId="0" fillId="0" borderId="30" xfId="0" applyFill="1" applyBorder="1" applyAlignment="1">
      <alignment horizontal="center" vertical="center"/>
    </xf>
    <xf numFmtId="0" fontId="0" fillId="0" borderId="14" xfId="0" applyFill="1" applyBorder="1" applyAlignment="1">
      <alignment horizontal="center" vertical="center"/>
    </xf>
    <xf numFmtId="0" fontId="0" fillId="0" borderId="0" xfId="0" applyFill="1" applyBorder="1" applyAlignment="1">
      <alignment horizontal="center" vertical="center"/>
    </xf>
    <xf numFmtId="0" fontId="0" fillId="0" borderId="25" xfId="0" applyFill="1" applyBorder="1" applyAlignment="1">
      <alignment horizontal="center" vertical="center"/>
    </xf>
    <xf numFmtId="0" fontId="0" fillId="0" borderId="31" xfId="0" applyFill="1" applyBorder="1" applyAlignment="1">
      <alignment horizontal="center" vertical="center"/>
    </xf>
    <xf numFmtId="0" fontId="0" fillId="0" borderId="28" xfId="0" applyFill="1" applyBorder="1" applyAlignment="1">
      <alignment horizontal="center" vertical="center"/>
    </xf>
    <xf numFmtId="0" fontId="0" fillId="0" borderId="19" xfId="0" applyFill="1" applyBorder="1" applyAlignment="1">
      <alignment horizontal="center" vertical="center"/>
    </xf>
    <xf numFmtId="0" fontId="4" fillId="0" borderId="12"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4" fillId="39" borderId="10" xfId="0" applyFont="1" applyFill="1" applyBorder="1" applyAlignment="1">
      <alignment horizontal="left" vertical="center"/>
    </xf>
    <xf numFmtId="0" fontId="4" fillId="0" borderId="10" xfId="0" applyNumberFormat="1" applyFont="1" applyFill="1" applyBorder="1" applyAlignment="1">
      <alignment horizontal="left" vertical="center"/>
    </xf>
    <xf numFmtId="0" fontId="14" fillId="0" borderId="17" xfId="0" applyFont="1" applyBorder="1" applyAlignment="1">
      <alignment horizontal="left"/>
    </xf>
    <xf numFmtId="0" fontId="14" fillId="0" borderId="18" xfId="0" applyFont="1" applyBorder="1" applyAlignment="1">
      <alignment horizontal="left"/>
    </xf>
    <xf numFmtId="2" fontId="4" fillId="0" borderId="10" xfId="0" applyNumberFormat="1" applyFont="1" applyFill="1" applyBorder="1" applyAlignment="1">
      <alignment horizontal="center" vertical="top"/>
    </xf>
    <xf numFmtId="0" fontId="14" fillId="0" borderId="10" xfId="0" applyFont="1" applyFill="1" applyBorder="1" applyAlignment="1">
      <alignment horizontal="left" vertical="center"/>
    </xf>
    <xf numFmtId="0" fontId="4" fillId="46" borderId="31" xfId="0" applyFont="1" applyFill="1" applyBorder="1" applyAlignment="1">
      <alignment horizontal="center" vertical="center" wrapText="1"/>
    </xf>
    <xf numFmtId="0" fontId="4" fillId="46" borderId="19" xfId="0" applyFont="1" applyFill="1" applyBorder="1" applyAlignment="1">
      <alignment horizontal="center" vertical="center" wrapText="1"/>
    </xf>
    <xf numFmtId="0" fontId="14" fillId="0" borderId="31"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19" xfId="0" applyFont="1" applyFill="1" applyBorder="1" applyAlignment="1">
      <alignment horizontal="center" vertical="center"/>
    </xf>
    <xf numFmtId="0" fontId="14" fillId="47" borderId="25" xfId="0" applyFont="1" applyFill="1" applyBorder="1" applyAlignment="1">
      <alignment horizontal="center" vertical="center" wrapText="1"/>
    </xf>
    <xf numFmtId="0" fontId="14" fillId="47" borderId="19" xfId="0" applyFont="1" applyFill="1" applyBorder="1" applyAlignment="1">
      <alignment horizontal="center" vertical="center" wrapText="1"/>
    </xf>
    <xf numFmtId="0" fontId="4" fillId="0" borderId="11" xfId="0" applyNumberFormat="1" applyFont="1" applyFill="1" applyBorder="1" applyAlignment="1">
      <alignment horizontal="left" textRotation="90"/>
    </xf>
    <xf numFmtId="0" fontId="4" fillId="0" borderId="15" xfId="0" applyNumberFormat="1" applyFont="1" applyFill="1" applyBorder="1" applyAlignment="1">
      <alignment horizontal="left" textRotation="90"/>
    </xf>
    <xf numFmtId="0" fontId="4" fillId="0" borderId="16" xfId="0" applyNumberFormat="1" applyFont="1" applyFill="1" applyBorder="1" applyAlignment="1">
      <alignment horizontal="left" textRotation="90"/>
    </xf>
    <xf numFmtId="0" fontId="4" fillId="0" borderId="12" xfId="0" applyNumberFormat="1" applyFont="1" applyFill="1" applyBorder="1" applyAlignment="1">
      <alignment horizontal="left" vertical="center"/>
    </xf>
    <xf numFmtId="0" fontId="4" fillId="0" borderId="17" xfId="0" applyNumberFormat="1" applyFont="1" applyFill="1" applyBorder="1" applyAlignment="1">
      <alignment horizontal="left" vertical="center"/>
    </xf>
    <xf numFmtId="0" fontId="4" fillId="0" borderId="18" xfId="0" applyNumberFormat="1" applyFont="1" applyFill="1" applyBorder="1" applyAlignment="1">
      <alignment horizontal="left" vertical="center"/>
    </xf>
    <xf numFmtId="0" fontId="4" fillId="0" borderId="10" xfId="0" applyNumberFormat="1" applyFont="1" applyFill="1" applyBorder="1" applyAlignment="1">
      <alignment horizontal="center" vertical="center" textRotation="90"/>
    </xf>
    <xf numFmtId="0" fontId="14" fillId="39" borderId="10" xfId="0" applyFont="1" applyFill="1" applyBorder="1" applyAlignment="1">
      <alignment horizontal="left" vertical="center" wrapText="1"/>
    </xf>
    <xf numFmtId="0" fontId="14" fillId="46" borderId="10" xfId="0" applyFont="1" applyFill="1" applyBorder="1" applyAlignment="1">
      <alignment horizontal="center"/>
    </xf>
    <xf numFmtId="0" fontId="4" fillId="0" borderId="12" xfId="0" applyFont="1" applyFill="1" applyBorder="1" applyAlignment="1">
      <alignment horizontal="center"/>
    </xf>
    <xf numFmtId="0" fontId="4" fillId="0" borderId="17" xfId="0" applyFont="1" applyFill="1" applyBorder="1" applyAlignment="1">
      <alignment horizontal="center"/>
    </xf>
    <xf numFmtId="0" fontId="4" fillId="0" borderId="18" xfId="0" applyFont="1" applyFill="1" applyBorder="1" applyAlignment="1">
      <alignment horizontal="center"/>
    </xf>
    <xf numFmtId="0" fontId="4" fillId="0" borderId="10" xfId="0" applyFont="1" applyBorder="1" applyAlignment="1"/>
    <xf numFmtId="0" fontId="4" fillId="0" borderId="10" xfId="0" applyFont="1" applyBorder="1" applyAlignment="1">
      <alignment wrapText="1"/>
    </xf>
    <xf numFmtId="0" fontId="4" fillId="0" borderId="10" xfId="0" applyFont="1" applyFill="1" applyBorder="1" applyAlignment="1">
      <alignment vertical="center"/>
    </xf>
    <xf numFmtId="0" fontId="4" fillId="39" borderId="10" xfId="0" applyFont="1" applyFill="1" applyBorder="1" applyAlignment="1">
      <alignment horizontal="center" vertical="center" wrapText="1"/>
    </xf>
    <xf numFmtId="0" fontId="14" fillId="52" borderId="10" xfId="0" applyNumberFormat="1" applyFont="1" applyFill="1" applyBorder="1" applyAlignment="1">
      <alignment horizontal="center" vertical="center" wrapText="1"/>
    </xf>
    <xf numFmtId="0" fontId="14" fillId="52" borderId="40" xfId="0" applyNumberFormat="1" applyFont="1" applyFill="1" applyBorder="1" applyAlignment="1">
      <alignment horizontal="center" vertical="center" wrapText="1"/>
    </xf>
    <xf numFmtId="0" fontId="53" fillId="0" borderId="0" xfId="0" applyNumberFormat="1" applyFont="1" applyFill="1" applyBorder="1" applyAlignment="1">
      <alignment horizontal="center" vertical="center" wrapText="1"/>
    </xf>
    <xf numFmtId="0" fontId="14" fillId="46" borderId="18" xfId="0" applyFont="1" applyFill="1" applyBorder="1" applyAlignment="1" applyProtection="1">
      <alignment horizontal="center" vertical="center" wrapText="1"/>
      <protection locked="0"/>
    </xf>
    <xf numFmtId="0" fontId="14" fillId="46" borderId="10" xfId="0" applyFont="1" applyFill="1" applyBorder="1" applyAlignment="1" applyProtection="1">
      <alignment horizontal="center" vertical="center" wrapText="1"/>
      <protection locked="0"/>
    </xf>
    <xf numFmtId="0" fontId="4" fillId="52" borderId="12" xfId="0" applyFont="1" applyFill="1" applyBorder="1" applyAlignment="1">
      <alignment horizontal="left" vertical="center"/>
    </xf>
    <xf numFmtId="0" fontId="4" fillId="52" borderId="17" xfId="0" applyFont="1" applyFill="1" applyBorder="1" applyAlignment="1">
      <alignment horizontal="left" vertical="center"/>
    </xf>
    <xf numFmtId="0" fontId="4" fillId="52" borderId="18" xfId="0" applyFont="1" applyFill="1" applyBorder="1" applyAlignment="1">
      <alignment horizontal="left" vertical="center"/>
    </xf>
    <xf numFmtId="0" fontId="14" fillId="46" borderId="12" xfId="0" applyFont="1" applyFill="1" applyBorder="1" applyAlignment="1" applyProtection="1">
      <alignment horizontal="center" vertical="center" wrapText="1"/>
      <protection locked="0"/>
    </xf>
    <xf numFmtId="0" fontId="24" fillId="0" borderId="18" xfId="0" applyNumberFormat="1" applyFont="1" applyFill="1" applyBorder="1" applyAlignment="1">
      <alignment horizontal="center" vertical="center" wrapText="1"/>
    </xf>
    <xf numFmtId="0" fontId="14" fillId="52" borderId="12" xfId="0" applyFont="1" applyFill="1" applyBorder="1" applyAlignment="1">
      <alignment horizontal="center" wrapText="1"/>
    </xf>
    <xf numFmtId="0" fontId="14" fillId="52" borderId="17" xfId="0" applyFont="1" applyFill="1" applyBorder="1" applyAlignment="1">
      <alignment horizontal="center" wrapText="1"/>
    </xf>
    <xf numFmtId="0" fontId="14" fillId="52" borderId="18" xfId="0" applyFont="1" applyFill="1" applyBorder="1" applyAlignment="1">
      <alignment horizontal="center" wrapText="1"/>
    </xf>
    <xf numFmtId="0" fontId="4" fillId="0" borderId="10" xfId="0" applyFont="1" applyFill="1" applyBorder="1" applyAlignment="1">
      <alignment horizontal="center"/>
    </xf>
    <xf numFmtId="0" fontId="4" fillId="0" borderId="14" xfId="0" applyFont="1" applyFill="1" applyBorder="1" applyAlignment="1">
      <alignment horizontal="left" vertical="center"/>
    </xf>
    <xf numFmtId="0" fontId="4" fillId="0" borderId="25" xfId="0" applyFont="1" applyFill="1" applyBorder="1" applyAlignment="1">
      <alignment horizontal="left" vertical="center"/>
    </xf>
    <xf numFmtId="4" fontId="14" fillId="0" borderId="12" xfId="0" applyNumberFormat="1" applyFont="1" applyFill="1" applyBorder="1" applyAlignment="1" applyProtection="1">
      <alignment horizontal="center" vertical="center"/>
      <protection hidden="1"/>
    </xf>
    <xf numFmtId="4" fontId="14" fillId="0" borderId="18" xfId="0" applyNumberFormat="1" applyFont="1" applyFill="1" applyBorder="1" applyAlignment="1" applyProtection="1">
      <alignment horizontal="center" vertical="center"/>
      <protection hidden="1"/>
    </xf>
    <xf numFmtId="0" fontId="6" fillId="0" borderId="0" xfId="239" applyFont="1" applyAlignment="1">
      <alignment horizontal="left"/>
    </xf>
    <xf numFmtId="1" fontId="4" fillId="47" borderId="10" xfId="0" applyNumberFormat="1" applyFont="1" applyFill="1" applyBorder="1" applyAlignment="1">
      <alignment horizontal="left" vertical="center"/>
    </xf>
    <xf numFmtId="0" fontId="4" fillId="0" borderId="20" xfId="0" applyFont="1" applyFill="1" applyBorder="1" applyAlignment="1">
      <alignment horizontal="left" wrapText="1"/>
    </xf>
    <xf numFmtId="0" fontId="4" fillId="0" borderId="20" xfId="0" applyFont="1" applyFill="1" applyBorder="1" applyAlignment="1">
      <alignment horizontal="left"/>
    </xf>
    <xf numFmtId="0" fontId="4" fillId="0" borderId="0" xfId="0" applyFont="1" applyFill="1" applyBorder="1" applyAlignment="1">
      <alignment horizontal="left"/>
    </xf>
    <xf numFmtId="0" fontId="4" fillId="49" borderId="10" xfId="0" applyFont="1" applyFill="1" applyBorder="1" applyAlignment="1">
      <alignment horizontal="center" vertical="center" wrapText="1"/>
    </xf>
    <xf numFmtId="0" fontId="14" fillId="0" borderId="11"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16" xfId="0" applyFont="1" applyFill="1" applyBorder="1" applyAlignment="1">
      <alignment horizontal="left" vertical="top" wrapText="1"/>
    </xf>
    <xf numFmtId="0" fontId="4" fillId="0" borderId="12" xfId="0" applyFont="1" applyFill="1" applyBorder="1" applyAlignment="1">
      <alignment horizontal="center" wrapText="1"/>
    </xf>
    <xf numFmtId="0" fontId="4" fillId="0" borderId="17" xfId="0" applyFont="1" applyFill="1" applyBorder="1" applyAlignment="1">
      <alignment horizontal="center" wrapText="1"/>
    </xf>
    <xf numFmtId="0" fontId="4" fillId="0" borderId="18" xfId="0" applyFont="1" applyFill="1" applyBorder="1" applyAlignment="1">
      <alignment horizontal="center" wrapText="1"/>
    </xf>
    <xf numFmtId="4" fontId="4" fillId="0" borderId="12" xfId="0" applyNumberFormat="1" applyFont="1" applyFill="1" applyBorder="1" applyAlignment="1" applyProtection="1">
      <alignment horizontal="center" vertical="center" wrapText="1"/>
      <protection hidden="1"/>
    </xf>
    <xf numFmtId="4" fontId="4" fillId="0" borderId="18" xfId="0" applyNumberFormat="1" applyFont="1" applyFill="1" applyBorder="1" applyAlignment="1" applyProtection="1">
      <alignment horizontal="center" vertical="center" wrapText="1"/>
      <protection hidden="1"/>
    </xf>
    <xf numFmtId="0" fontId="4" fillId="0" borderId="12" xfId="0" applyFont="1" applyBorder="1" applyAlignment="1" applyProtection="1">
      <alignment vertical="center"/>
      <protection hidden="1"/>
    </xf>
    <xf numFmtId="0" fontId="4" fillId="0" borderId="17" xfId="0" applyFont="1" applyBorder="1" applyAlignment="1" applyProtection="1">
      <alignment vertical="center"/>
      <protection hidden="1"/>
    </xf>
    <xf numFmtId="0" fontId="4" fillId="0" borderId="18" xfId="0" applyFont="1" applyBorder="1" applyAlignment="1" applyProtection="1">
      <alignment vertical="center"/>
      <protection hidden="1"/>
    </xf>
    <xf numFmtId="0" fontId="4" fillId="0" borderId="12" xfId="0" applyFont="1" applyFill="1" applyBorder="1" applyAlignment="1" applyProtection="1">
      <alignment horizontal="left" vertical="center" wrapText="1"/>
      <protection hidden="1"/>
    </xf>
    <xf numFmtId="0" fontId="4" fillId="0" borderId="17" xfId="0" applyFont="1" applyFill="1" applyBorder="1" applyAlignment="1" applyProtection="1">
      <alignment horizontal="left" vertical="center" wrapText="1"/>
      <protection hidden="1"/>
    </xf>
    <xf numFmtId="0" fontId="4" fillId="0" borderId="18" xfId="0" applyFont="1" applyFill="1" applyBorder="1" applyAlignment="1" applyProtection="1">
      <alignment horizontal="left" vertical="center" wrapText="1"/>
      <protection hidden="1"/>
    </xf>
    <xf numFmtId="0" fontId="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wrapText="1"/>
      <protection hidden="1"/>
    </xf>
    <xf numFmtId="0" fontId="1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4" fontId="4" fillId="0" borderId="10" xfId="0" applyNumberFormat="1" applyFont="1" applyFill="1" applyBorder="1" applyAlignment="1" applyProtection="1">
      <alignment horizontal="center" vertical="center" wrapText="1"/>
      <protection hidden="1"/>
    </xf>
    <xf numFmtId="0" fontId="14" fillId="0" borderId="10" xfId="0" applyFont="1" applyFill="1" applyBorder="1" applyAlignment="1" applyProtection="1">
      <alignment horizontal="center" vertical="center" wrapText="1"/>
      <protection hidden="1"/>
    </xf>
    <xf numFmtId="0" fontId="14" fillId="0" borderId="10" xfId="0" applyFont="1" applyBorder="1" applyAlignment="1" applyProtection="1">
      <alignment horizontal="center" vertical="center" wrapText="1"/>
      <protection hidden="1"/>
    </xf>
    <xf numFmtId="0" fontId="14" fillId="0" borderId="11" xfId="0" applyFont="1" applyFill="1" applyBorder="1" applyAlignment="1" applyProtection="1">
      <alignment horizontal="center" vertical="center" wrapText="1"/>
      <protection hidden="1"/>
    </xf>
    <xf numFmtId="0" fontId="14" fillId="0" borderId="15" xfId="0" applyFont="1" applyFill="1" applyBorder="1" applyAlignment="1" applyProtection="1">
      <alignment horizontal="center" vertical="center" wrapText="1"/>
      <protection hidden="1"/>
    </xf>
    <xf numFmtId="0" fontId="14" fillId="0" borderId="16" xfId="0" applyFont="1" applyFill="1" applyBorder="1" applyAlignment="1" applyProtection="1">
      <alignment horizontal="center" vertical="center" wrapText="1"/>
      <protection hidden="1"/>
    </xf>
    <xf numFmtId="0" fontId="4" fillId="0" borderId="12" xfId="0" applyFont="1" applyFill="1" applyBorder="1" applyAlignment="1" applyProtection="1">
      <alignment horizontal="center" vertical="center" wrapText="1"/>
      <protection hidden="1"/>
    </xf>
    <xf numFmtId="0" fontId="4" fillId="0" borderId="18" xfId="0" applyFont="1" applyFill="1" applyBorder="1" applyAlignment="1" applyProtection="1">
      <alignment horizontal="center" vertical="center" wrapText="1"/>
      <protection hidden="1"/>
    </xf>
    <xf numFmtId="0" fontId="14" fillId="46" borderId="10" xfId="0" applyFont="1" applyFill="1" applyBorder="1" applyAlignment="1" applyProtection="1">
      <alignment horizontal="center" vertical="center" wrapText="1"/>
      <protection hidden="1"/>
    </xf>
    <xf numFmtId="0" fontId="14" fillId="46" borderId="12" xfId="0" applyFont="1" applyFill="1" applyBorder="1" applyAlignment="1" applyProtection="1">
      <alignment horizontal="center" vertical="center" wrapText="1"/>
      <protection hidden="1"/>
    </xf>
    <xf numFmtId="0" fontId="14" fillId="46" borderId="17" xfId="0" applyFont="1" applyFill="1" applyBorder="1" applyAlignment="1" applyProtection="1">
      <alignment horizontal="center" vertical="center" wrapText="1"/>
      <protection hidden="1"/>
    </xf>
    <xf numFmtId="0" fontId="14" fillId="46" borderId="18" xfId="0" applyFont="1" applyFill="1" applyBorder="1" applyAlignment="1" applyProtection="1">
      <alignment horizontal="center" vertical="center" wrapText="1"/>
      <protection hidden="1"/>
    </xf>
    <xf numFmtId="0" fontId="7" fillId="0" borderId="21" xfId="0" applyFont="1" applyBorder="1" applyAlignment="1" applyProtection="1">
      <alignment horizontal="center"/>
      <protection hidden="1"/>
    </xf>
    <xf numFmtId="1" fontId="8" fillId="51" borderId="0" xfId="0" applyNumberFormat="1" applyFont="1" applyFill="1" applyBorder="1" applyAlignment="1" applyProtection="1">
      <alignment horizontal="center" vertical="center" wrapText="1"/>
    </xf>
    <xf numFmtId="0" fontId="0" fillId="0" borderId="0" xfId="0"/>
    <xf numFmtId="3" fontId="14" fillId="46" borderId="10" xfId="0" applyNumberFormat="1" applyFont="1" applyFill="1" applyBorder="1" applyAlignment="1" applyProtection="1">
      <alignment horizontal="center" vertical="center" wrapText="1"/>
      <protection hidden="1"/>
    </xf>
    <xf numFmtId="0" fontId="20" fillId="0" borderId="10" xfId="0" applyFont="1" applyBorder="1" applyAlignment="1">
      <alignment horizontal="left"/>
    </xf>
    <xf numFmtId="0" fontId="2" fillId="0" borderId="11" xfId="0" applyNumberFormat="1" applyFont="1" applyFill="1" applyBorder="1" applyAlignment="1" applyProtection="1">
      <alignment horizontal="center" vertical="center" wrapText="1"/>
      <protection hidden="1"/>
    </xf>
    <xf numFmtId="0" fontId="2" fillId="0" borderId="16" xfId="0" applyNumberFormat="1" applyFont="1" applyFill="1" applyBorder="1" applyAlignment="1" applyProtection="1">
      <alignment horizontal="center" vertical="center" wrapText="1"/>
      <protection hidden="1"/>
    </xf>
    <xf numFmtId="4" fontId="14" fillId="0" borderId="11"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horizontal="center" vertical="center"/>
      <protection hidden="1"/>
    </xf>
    <xf numFmtId="0" fontId="2" fillId="0" borderId="11" xfId="0" applyFont="1" applyFill="1" applyBorder="1" applyAlignment="1" applyProtection="1">
      <alignment horizontal="center" vertical="center"/>
      <protection hidden="1"/>
    </xf>
    <xf numFmtId="0" fontId="2"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left" vertical="center" wrapText="1"/>
      <protection hidden="1"/>
    </xf>
    <xf numFmtId="0" fontId="14" fillId="0" borderId="30" xfId="0" applyFont="1" applyFill="1" applyBorder="1" applyAlignment="1" applyProtection="1">
      <alignment horizontal="left" vertical="center" wrapText="1"/>
      <protection hidden="1"/>
    </xf>
    <xf numFmtId="0" fontId="14" fillId="0" borderId="31" xfId="0" applyFont="1" applyFill="1" applyBorder="1" applyAlignment="1" applyProtection="1">
      <alignment horizontal="left" vertical="center" wrapText="1"/>
      <protection hidden="1"/>
    </xf>
    <xf numFmtId="0" fontId="14" fillId="0" borderId="19" xfId="0" applyFont="1" applyFill="1" applyBorder="1" applyAlignment="1" applyProtection="1">
      <alignment horizontal="left" vertical="center" wrapText="1"/>
      <protection hidden="1"/>
    </xf>
    <xf numFmtId="2" fontId="2" fillId="0" borderId="11" xfId="0" applyNumberFormat="1" applyFont="1" applyFill="1" applyBorder="1" applyAlignment="1" applyProtection="1">
      <alignment horizontal="center" vertical="center" wrapText="1"/>
      <protection hidden="1"/>
    </xf>
    <xf numFmtId="2" fontId="2" fillId="0" borderId="16" xfId="0" applyNumberFormat="1"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16" xfId="0" applyFont="1" applyFill="1" applyBorder="1" applyAlignment="1" applyProtection="1">
      <alignment horizontal="center" vertical="center" wrapText="1"/>
      <protection hidden="1"/>
    </xf>
    <xf numFmtId="4" fontId="2" fillId="0" borderId="11" xfId="0" applyNumberFormat="1" applyFont="1" applyFill="1" applyBorder="1" applyAlignment="1" applyProtection="1">
      <alignment horizontal="center" vertical="center"/>
      <protection hidden="1"/>
    </xf>
    <xf numFmtId="4" fontId="2" fillId="0" borderId="16" xfId="0" applyNumberFormat="1" applyFont="1" applyFill="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65" fontId="2" fillId="0" borderId="11" xfId="0" applyNumberFormat="1" applyFont="1" applyFill="1" applyBorder="1" applyAlignment="1" applyProtection="1">
      <alignment horizontal="center" vertical="center"/>
      <protection hidden="1"/>
    </xf>
    <xf numFmtId="165" fontId="2" fillId="0" borderId="16" xfId="0" applyNumberFormat="1" applyFont="1" applyFill="1" applyBorder="1" applyAlignment="1" applyProtection="1">
      <alignment horizontal="center" vertical="center"/>
      <protection hidden="1"/>
    </xf>
    <xf numFmtId="0" fontId="2" fillId="0" borderId="10" xfId="0" applyFont="1" applyFill="1" applyBorder="1" applyAlignment="1">
      <alignment horizontal="left"/>
    </xf>
    <xf numFmtId="0" fontId="4" fillId="48" borderId="14" xfId="0" applyFont="1" applyFill="1" applyBorder="1" applyAlignment="1">
      <alignment horizontal="center" vertical="center"/>
    </xf>
    <xf numFmtId="0" fontId="4" fillId="48" borderId="0" xfId="0" applyFont="1" applyFill="1" applyBorder="1" applyAlignment="1">
      <alignment horizontal="center" vertical="center"/>
    </xf>
    <xf numFmtId="0" fontId="4" fillId="48" borderId="28" xfId="0" applyFont="1" applyFill="1" applyBorder="1" applyAlignment="1">
      <alignment horizontal="center" vertical="center"/>
    </xf>
    <xf numFmtId="0" fontId="20" fillId="46" borderId="12" xfId="0" applyFont="1" applyFill="1" applyBorder="1" applyAlignment="1">
      <alignment horizontal="center" vertical="center"/>
    </xf>
    <xf numFmtId="0" fontId="20" fillId="46" borderId="17" xfId="0" applyFont="1" applyFill="1" applyBorder="1" applyAlignment="1">
      <alignment horizontal="center" vertical="center"/>
    </xf>
    <xf numFmtId="0" fontId="20" fillId="46" borderId="18" xfId="0" applyFont="1" applyFill="1" applyBorder="1" applyAlignment="1">
      <alignment horizontal="center" vertical="center"/>
    </xf>
    <xf numFmtId="2" fontId="2" fillId="0" borderId="11" xfId="0" applyNumberFormat="1" applyFont="1" applyFill="1" applyBorder="1" applyAlignment="1" applyProtection="1">
      <alignment horizontal="center" vertical="center"/>
      <protection hidden="1"/>
    </xf>
    <xf numFmtId="2" fontId="2" fillId="0" borderId="15" xfId="0" applyNumberFormat="1" applyFont="1" applyFill="1" applyBorder="1" applyAlignment="1" applyProtection="1">
      <alignment horizontal="center" vertical="center"/>
      <protection hidden="1"/>
    </xf>
    <xf numFmtId="2" fontId="2" fillId="0" borderId="16" xfId="0" applyNumberFormat="1" applyFont="1" applyFill="1" applyBorder="1" applyAlignment="1" applyProtection="1">
      <alignment horizontal="center" vertical="center"/>
      <protection hidden="1"/>
    </xf>
    <xf numFmtId="0" fontId="14" fillId="0" borderId="12" xfId="0" applyFont="1" applyFill="1" applyBorder="1" applyAlignment="1" applyProtection="1">
      <alignment horizontal="left" vertical="center" wrapText="1"/>
      <protection hidden="1"/>
    </xf>
    <xf numFmtId="0" fontId="14" fillId="0" borderId="18" xfId="0" applyFont="1" applyFill="1" applyBorder="1" applyAlignment="1" applyProtection="1">
      <alignment horizontal="left" vertical="center" wrapText="1"/>
      <protection hidden="1"/>
    </xf>
    <xf numFmtId="0" fontId="14" fillId="0" borderId="12" xfId="0" applyNumberFormat="1" applyFont="1" applyFill="1" applyBorder="1" applyAlignment="1" applyProtection="1">
      <alignment horizontal="left" vertical="center" wrapText="1"/>
      <protection hidden="1"/>
    </xf>
    <xf numFmtId="0" fontId="14" fillId="0" borderId="18" xfId="0" applyNumberFormat="1" applyFont="1" applyFill="1" applyBorder="1" applyAlignment="1" applyProtection="1">
      <alignment horizontal="left" vertical="center" wrapText="1"/>
      <protection hidden="1"/>
    </xf>
    <xf numFmtId="0" fontId="14" fillId="0" borderId="10" xfId="0" applyFont="1" applyFill="1" applyBorder="1" applyAlignment="1" applyProtection="1">
      <alignment horizontal="left" vertical="center" wrapText="1"/>
      <protection hidden="1"/>
    </xf>
    <xf numFmtId="0" fontId="2" fillId="0" borderId="15" xfId="0" applyNumberFormat="1" applyFont="1" applyFill="1" applyBorder="1" applyAlignment="1" applyProtection="1">
      <alignment horizontal="center" vertical="center" wrapText="1"/>
      <protection hidden="1"/>
    </xf>
    <xf numFmtId="4" fontId="14" fillId="0" borderId="15" xfId="0" applyNumberFormat="1"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14" fillId="0" borderId="13" xfId="0" applyNumberFormat="1" applyFont="1" applyFill="1" applyBorder="1" applyAlignment="1" applyProtection="1">
      <alignment horizontal="left" vertical="center" wrapText="1"/>
      <protection hidden="1"/>
    </xf>
    <xf numFmtId="0" fontId="14" fillId="0" borderId="30" xfId="0" applyNumberFormat="1" applyFont="1" applyFill="1" applyBorder="1" applyAlignment="1" applyProtection="1">
      <alignment horizontal="left" vertical="center" wrapText="1"/>
      <protection hidden="1"/>
    </xf>
    <xf numFmtId="0" fontId="14" fillId="0" borderId="31" xfId="0" applyNumberFormat="1" applyFont="1" applyFill="1" applyBorder="1" applyAlignment="1" applyProtection="1">
      <alignment horizontal="left" vertical="center" wrapText="1"/>
      <protection hidden="1"/>
    </xf>
    <xf numFmtId="0" fontId="14" fillId="0" borderId="19" xfId="0" applyNumberFormat="1" applyFont="1" applyFill="1" applyBorder="1" applyAlignment="1" applyProtection="1">
      <alignment horizontal="left" vertical="center" wrapText="1"/>
      <protection hidden="1"/>
    </xf>
    <xf numFmtId="0" fontId="2" fillId="0" borderId="13" xfId="0" applyFont="1" applyFill="1" applyBorder="1" applyAlignment="1" applyProtection="1">
      <alignment horizontal="center" vertical="center" wrapText="1"/>
      <protection hidden="1"/>
    </xf>
    <xf numFmtId="0" fontId="2" fillId="0" borderId="20" xfId="0" applyFont="1" applyFill="1" applyBorder="1" applyAlignment="1" applyProtection="1">
      <alignment horizontal="center" vertical="center" wrapText="1"/>
      <protection hidden="1"/>
    </xf>
    <xf numFmtId="0" fontId="2" fillId="0" borderId="30" xfId="0" applyFont="1" applyFill="1" applyBorder="1" applyAlignment="1" applyProtection="1">
      <alignment horizontal="center" vertical="center" wrapText="1"/>
      <protection hidden="1"/>
    </xf>
    <xf numFmtId="0" fontId="2" fillId="0" borderId="31" xfId="0" applyFont="1" applyFill="1" applyBorder="1" applyAlignment="1" applyProtection="1">
      <alignment horizontal="center" vertical="center" wrapText="1"/>
      <protection hidden="1"/>
    </xf>
    <xf numFmtId="0" fontId="2" fillId="0" borderId="28" xfId="0" applyFont="1" applyFill="1" applyBorder="1" applyAlignment="1" applyProtection="1">
      <alignment horizontal="center" vertical="center" wrapText="1"/>
      <protection hidden="1"/>
    </xf>
    <xf numFmtId="0" fontId="2" fillId="0" borderId="19" xfId="0" applyFont="1" applyFill="1" applyBorder="1" applyAlignment="1" applyProtection="1">
      <alignment horizontal="center" vertical="center" wrapText="1"/>
      <protection hidden="1"/>
    </xf>
    <xf numFmtId="0" fontId="0" fillId="0" borderId="10" xfId="0" applyBorder="1" applyAlignment="1">
      <alignment horizontal="center"/>
    </xf>
    <xf numFmtId="0" fontId="2" fillId="0" borderId="10" xfId="0" applyFont="1" applyFill="1" applyBorder="1" applyAlignment="1" applyProtection="1">
      <alignment horizontal="center" vertical="center" wrapText="1"/>
      <protection hidden="1"/>
    </xf>
    <xf numFmtId="2" fontId="2" fillId="0" borderId="10" xfId="0" applyNumberFormat="1" applyFont="1" applyFill="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hidden="1"/>
    </xf>
    <xf numFmtId="0" fontId="14" fillId="0" borderId="14" xfId="0" applyFont="1" applyFill="1" applyBorder="1" applyAlignment="1" applyProtection="1">
      <alignment horizontal="left" vertical="center" wrapText="1"/>
      <protection hidden="1"/>
    </xf>
    <xf numFmtId="0" fontId="14" fillId="0" borderId="25" xfId="0" applyFont="1" applyFill="1" applyBorder="1" applyAlignment="1" applyProtection="1">
      <alignment horizontal="left" vertical="center" wrapText="1"/>
      <protection hidden="1"/>
    </xf>
    <xf numFmtId="0" fontId="2" fillId="0" borderId="15" xfId="0" applyFont="1" applyFill="1" applyBorder="1" applyAlignment="1" applyProtection="1">
      <alignment horizontal="center" vertical="center" wrapText="1"/>
      <protection hidden="1"/>
    </xf>
    <xf numFmtId="0" fontId="14" fillId="0" borderId="11" xfId="0" applyFont="1" applyFill="1" applyBorder="1" applyAlignment="1" applyProtection="1">
      <alignment horizontal="left" vertical="center" wrapText="1"/>
      <protection hidden="1"/>
    </xf>
    <xf numFmtId="0" fontId="14" fillId="0" borderId="15" xfId="0" applyFont="1" applyFill="1" applyBorder="1" applyAlignment="1" applyProtection="1">
      <alignment horizontal="left" vertical="center" wrapText="1"/>
      <protection hidden="1"/>
    </xf>
    <xf numFmtId="0" fontId="14" fillId="0" borderId="16" xfId="0" applyFont="1" applyFill="1" applyBorder="1" applyAlignment="1" applyProtection="1">
      <alignment horizontal="left" vertical="center" wrapText="1"/>
      <protection hidden="1"/>
    </xf>
    <xf numFmtId="0" fontId="2" fillId="0" borderId="10" xfId="0" applyNumberFormat="1" applyFont="1" applyFill="1" applyBorder="1" applyAlignment="1" applyProtection="1">
      <alignment horizontal="center" vertical="center" wrapText="1"/>
      <protection hidden="1"/>
    </xf>
    <xf numFmtId="0" fontId="14" fillId="0" borderId="10" xfId="0" applyNumberFormat="1" applyFont="1" applyFill="1" applyBorder="1" applyAlignment="1" applyProtection="1">
      <alignment horizontal="left" vertical="center" wrapText="1"/>
      <protection hidden="1"/>
    </xf>
    <xf numFmtId="2" fontId="2" fillId="0" borderId="15" xfId="0" applyNumberFormat="1" applyFont="1" applyFill="1" applyBorder="1" applyAlignment="1" applyProtection="1">
      <alignment horizontal="center" vertical="center" wrapText="1"/>
      <protection hidden="1"/>
    </xf>
    <xf numFmtId="0" fontId="4" fillId="0" borderId="11" xfId="0" applyNumberFormat="1" applyFont="1" applyFill="1" applyBorder="1" applyAlignment="1" applyProtection="1">
      <alignment horizontal="center" vertical="center" wrapText="1"/>
      <protection hidden="1"/>
    </xf>
    <xf numFmtId="0" fontId="4" fillId="0" borderId="15" xfId="0" applyNumberFormat="1" applyFont="1" applyFill="1" applyBorder="1" applyAlignment="1" applyProtection="1">
      <alignment horizontal="center" vertical="center" wrapText="1"/>
      <protection hidden="1"/>
    </xf>
    <xf numFmtId="0" fontId="4" fillId="0" borderId="16" xfId="0" applyNumberFormat="1" applyFont="1" applyFill="1" applyBorder="1" applyAlignment="1" applyProtection="1">
      <alignment horizontal="center" vertical="center" wrapText="1"/>
      <protection hidden="1"/>
    </xf>
    <xf numFmtId="0" fontId="14" fillId="39" borderId="10" xfId="0" applyFont="1" applyFill="1" applyBorder="1" applyAlignment="1" applyProtection="1">
      <alignment horizontal="center" vertical="center" wrapText="1"/>
      <protection hidden="1"/>
    </xf>
    <xf numFmtId="0" fontId="14" fillId="0" borderId="12" xfId="0" applyFont="1" applyFill="1" applyBorder="1" applyAlignment="1" applyProtection="1">
      <alignment horizontal="left" wrapText="1"/>
      <protection hidden="1"/>
    </xf>
    <xf numFmtId="0" fontId="14" fillId="0" borderId="18" xfId="0" applyFont="1" applyFill="1" applyBorder="1" applyAlignment="1" applyProtection="1">
      <alignment horizontal="left" wrapText="1"/>
      <protection hidden="1"/>
    </xf>
    <xf numFmtId="2" fontId="2" fillId="0" borderId="10" xfId="0" applyNumberFormat="1" applyFont="1" applyFill="1" applyBorder="1" applyAlignment="1" applyProtection="1">
      <alignment horizontal="center" vertical="center"/>
      <protection hidden="1"/>
    </xf>
    <xf numFmtId="1" fontId="8" fillId="51" borderId="27" xfId="0" applyNumberFormat="1" applyFont="1" applyFill="1" applyBorder="1" applyAlignment="1" applyProtection="1">
      <alignment horizontal="center" vertical="center" wrapText="1"/>
    </xf>
    <xf numFmtId="0" fontId="14" fillId="39" borderId="12" xfId="0" applyFont="1" applyFill="1" applyBorder="1" applyAlignment="1" applyProtection="1">
      <alignment horizontal="center" vertical="center" wrapText="1"/>
      <protection hidden="1"/>
    </xf>
    <xf numFmtId="0" fontId="14" fillId="39" borderId="18" xfId="0" applyFont="1" applyFill="1" applyBorder="1" applyAlignment="1" applyProtection="1">
      <alignment horizontal="center" vertical="center" wrapText="1"/>
      <protection hidden="1"/>
    </xf>
    <xf numFmtId="0" fontId="14" fillId="39" borderId="17" xfId="0" applyFont="1" applyFill="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10" xfId="0" applyFill="1" applyBorder="1" applyAlignment="1">
      <alignment horizontal="center"/>
    </xf>
    <xf numFmtId="0" fontId="2" fillId="0" borderId="12" xfId="0" applyFont="1" applyBorder="1" applyAlignment="1">
      <alignment horizontal="left" vertical="center"/>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4" fillId="0" borderId="12" xfId="0" applyFont="1" applyFill="1" applyBorder="1" applyAlignment="1" applyProtection="1">
      <alignment horizontal="left" vertical="center"/>
      <protection hidden="1"/>
    </xf>
    <xf numFmtId="0" fontId="4" fillId="0" borderId="17" xfId="0" applyFont="1" applyFill="1" applyBorder="1" applyAlignment="1" applyProtection="1">
      <alignment horizontal="left" vertical="center"/>
      <protection hidden="1"/>
    </xf>
    <xf numFmtId="0" fontId="4" fillId="0" borderId="18" xfId="0" applyFont="1" applyFill="1" applyBorder="1" applyAlignment="1" applyProtection="1">
      <alignment horizontal="left" vertical="center"/>
      <protection hidden="1"/>
    </xf>
    <xf numFmtId="165" fontId="4" fillId="0" borderId="10" xfId="0" applyNumberFormat="1" applyFont="1" applyFill="1" applyBorder="1" applyAlignment="1" applyProtection="1">
      <alignment horizontal="center" vertical="center" wrapText="1"/>
      <protection hidden="1"/>
    </xf>
    <xf numFmtId="0" fontId="0" fillId="0" borderId="12" xfId="0" applyFill="1" applyBorder="1" applyAlignment="1">
      <alignment horizontal="center"/>
    </xf>
    <xf numFmtId="0" fontId="0" fillId="0" borderId="18" xfId="0" applyFill="1" applyBorder="1" applyAlignment="1">
      <alignment horizontal="center"/>
    </xf>
    <xf numFmtId="2" fontId="4" fillId="0" borderId="10" xfId="0" applyNumberFormat="1" applyFont="1" applyFill="1" applyBorder="1" applyAlignment="1">
      <alignment horizontal="center" vertical="center" wrapText="1"/>
    </xf>
    <xf numFmtId="2" fontId="14" fillId="0" borderId="10" xfId="0" applyNumberFormat="1" applyFont="1" applyBorder="1" applyAlignment="1">
      <alignment horizontal="center" vertical="center" wrapText="1"/>
    </xf>
    <xf numFmtId="2" fontId="4" fillId="0" borderId="10" xfId="0" applyNumberFormat="1" applyFont="1" applyBorder="1" applyAlignment="1">
      <alignment horizontal="center" vertical="center" wrapText="1"/>
    </xf>
    <xf numFmtId="4" fontId="14" fillId="0" borderId="12" xfId="0" applyNumberFormat="1" applyFont="1" applyFill="1" applyBorder="1" applyAlignment="1" applyProtection="1">
      <alignment horizontal="center" vertical="center" wrapText="1"/>
      <protection hidden="1"/>
    </xf>
    <xf numFmtId="4" fontId="14" fillId="0" borderId="18" xfId="0" applyNumberFormat="1" applyFont="1" applyFill="1" applyBorder="1" applyAlignment="1" applyProtection="1">
      <alignment horizontal="center" vertical="center" wrapText="1"/>
      <protection hidden="1"/>
    </xf>
    <xf numFmtId="0" fontId="4" fillId="0" borderId="17" xfId="0" applyFont="1" applyBorder="1" applyAlignment="1">
      <alignment horizontal="center" vertical="center" wrapText="1"/>
    </xf>
    <xf numFmtId="2" fontId="4" fillId="0" borderId="12" xfId="0" applyNumberFormat="1" applyFont="1" applyBorder="1" applyAlignment="1">
      <alignment horizontal="center" vertical="center" wrapText="1"/>
    </xf>
    <xf numFmtId="2" fontId="4" fillId="0" borderId="17" xfId="0" applyNumberFormat="1" applyFont="1" applyBorder="1" applyAlignment="1">
      <alignment horizontal="center" vertical="center" wrapText="1"/>
    </xf>
    <xf numFmtId="2" fontId="4" fillId="0" borderId="18" xfId="0" applyNumberFormat="1" applyFont="1" applyBorder="1" applyAlignment="1">
      <alignment horizontal="center" vertical="center" wrapText="1"/>
    </xf>
    <xf numFmtId="165" fontId="4" fillId="0" borderId="13" xfId="0" applyNumberFormat="1" applyFont="1" applyFill="1" applyBorder="1" applyAlignment="1" applyProtection="1">
      <alignment horizontal="center" vertical="center" wrapText="1"/>
      <protection hidden="1"/>
    </xf>
    <xf numFmtId="165" fontId="4" fillId="0" borderId="30" xfId="0" applyNumberFormat="1" applyFont="1" applyFill="1" applyBorder="1" applyAlignment="1" applyProtection="1">
      <alignment horizontal="center" vertical="center" wrapText="1"/>
      <protection hidden="1"/>
    </xf>
    <xf numFmtId="165" fontId="4" fillId="0" borderId="31" xfId="0" applyNumberFormat="1" applyFont="1" applyFill="1" applyBorder="1" applyAlignment="1" applyProtection="1">
      <alignment horizontal="center" vertical="center" wrapText="1"/>
      <protection hidden="1"/>
    </xf>
    <xf numFmtId="165" fontId="4" fillId="0" borderId="19" xfId="0" applyNumberFormat="1" applyFont="1" applyFill="1" applyBorder="1" applyAlignment="1" applyProtection="1">
      <alignment horizontal="center" vertical="center" wrapText="1"/>
      <protection hidden="1"/>
    </xf>
    <xf numFmtId="4" fontId="14" fillId="0" borderId="13" xfId="0" applyNumberFormat="1" applyFont="1" applyFill="1" applyBorder="1" applyAlignment="1" applyProtection="1">
      <alignment horizontal="center" vertical="center" wrapText="1"/>
      <protection hidden="1"/>
    </xf>
    <xf numFmtId="4" fontId="14" fillId="0" borderId="30" xfId="0" applyNumberFormat="1" applyFont="1" applyFill="1" applyBorder="1" applyAlignment="1" applyProtection="1">
      <alignment horizontal="center" vertical="center" wrapText="1"/>
      <protection hidden="1"/>
    </xf>
    <xf numFmtId="4" fontId="14" fillId="0" borderId="31" xfId="0" applyNumberFormat="1" applyFont="1" applyFill="1" applyBorder="1" applyAlignment="1" applyProtection="1">
      <alignment horizontal="center" vertical="center" wrapText="1"/>
      <protection hidden="1"/>
    </xf>
    <xf numFmtId="4" fontId="14" fillId="0" borderId="19" xfId="0" applyNumberFormat="1" applyFont="1" applyFill="1" applyBorder="1" applyAlignment="1" applyProtection="1">
      <alignment horizontal="center" vertical="center" wrapText="1"/>
      <protection hidden="1"/>
    </xf>
    <xf numFmtId="2" fontId="4" fillId="0" borderId="13" xfId="0" applyNumberFormat="1" applyFont="1" applyFill="1" applyBorder="1" applyAlignment="1">
      <alignment horizontal="center" vertical="center" wrapText="1"/>
    </xf>
    <xf numFmtId="2" fontId="4" fillId="0" borderId="20" xfId="0" applyNumberFormat="1" applyFont="1" applyFill="1" applyBorder="1" applyAlignment="1">
      <alignment horizontal="center" vertical="center" wrapText="1"/>
    </xf>
    <xf numFmtId="2" fontId="4" fillId="0" borderId="30" xfId="0" applyNumberFormat="1" applyFont="1" applyFill="1" applyBorder="1" applyAlignment="1">
      <alignment horizontal="center" vertical="center" wrapText="1"/>
    </xf>
    <xf numFmtId="2" fontId="4" fillId="0" borderId="31" xfId="0" applyNumberFormat="1" applyFont="1" applyFill="1" applyBorder="1" applyAlignment="1">
      <alignment horizontal="center" vertical="center" wrapText="1"/>
    </xf>
    <xf numFmtId="2" fontId="4" fillId="0" borderId="28" xfId="0" applyNumberFormat="1" applyFont="1" applyFill="1" applyBorder="1" applyAlignment="1">
      <alignment horizontal="center" vertical="center" wrapText="1"/>
    </xf>
    <xf numFmtId="2" fontId="4" fillId="0" borderId="19" xfId="0" applyNumberFormat="1" applyFont="1" applyFill="1" applyBorder="1" applyAlignment="1">
      <alignment horizontal="center" vertical="center" wrapText="1"/>
    </xf>
    <xf numFmtId="4" fontId="14" fillId="0" borderId="11" xfId="0" applyNumberFormat="1" applyFont="1" applyFill="1" applyBorder="1" applyAlignment="1" applyProtection="1">
      <alignment horizontal="center" vertical="center" wrapText="1"/>
      <protection hidden="1"/>
    </xf>
    <xf numFmtId="4" fontId="14" fillId="0" borderId="16" xfId="0" applyNumberFormat="1" applyFont="1" applyFill="1" applyBorder="1" applyAlignment="1" applyProtection="1">
      <alignment horizontal="center" vertical="center" wrapText="1"/>
      <protection hidden="1"/>
    </xf>
    <xf numFmtId="2" fontId="14" fillId="0" borderId="15" xfId="0" applyNumberFormat="1" applyFont="1" applyBorder="1" applyAlignment="1">
      <alignment horizontal="center" vertical="center" wrapText="1"/>
    </xf>
    <xf numFmtId="2" fontId="14" fillId="0" borderId="16" xfId="0" applyNumberFormat="1" applyFont="1" applyBorder="1" applyAlignment="1">
      <alignment horizontal="center" vertical="center" wrapText="1"/>
    </xf>
    <xf numFmtId="0" fontId="14" fillId="0" borderId="13" xfId="0" applyFont="1" applyBorder="1" applyAlignment="1">
      <alignment horizontal="left" vertical="center" wrapText="1"/>
    </xf>
    <xf numFmtId="0" fontId="14" fillId="0" borderId="20" xfId="0" applyFont="1" applyBorder="1" applyAlignment="1">
      <alignment horizontal="left" vertical="center" wrapText="1"/>
    </xf>
    <xf numFmtId="0" fontId="14" fillId="0" borderId="30" xfId="0" applyFont="1" applyBorder="1" applyAlignment="1">
      <alignment horizontal="left" vertical="center" wrapText="1"/>
    </xf>
    <xf numFmtId="0" fontId="14" fillId="0" borderId="14" xfId="0" applyFont="1" applyBorder="1" applyAlignment="1">
      <alignment horizontal="left" vertical="center" wrapText="1"/>
    </xf>
    <xf numFmtId="0" fontId="14" fillId="0" borderId="25" xfId="0" applyFont="1" applyBorder="1" applyAlignment="1">
      <alignment horizontal="left" vertical="center" wrapText="1"/>
    </xf>
    <xf numFmtId="0" fontId="14" fillId="0" borderId="31" xfId="0" applyFont="1" applyBorder="1" applyAlignment="1">
      <alignment horizontal="left" vertical="center" wrapText="1"/>
    </xf>
    <xf numFmtId="0" fontId="14" fillId="0" borderId="28" xfId="0" applyFont="1" applyBorder="1" applyAlignment="1">
      <alignment horizontal="left" vertical="center" wrapText="1"/>
    </xf>
    <xf numFmtId="0" fontId="14" fillId="0" borderId="19" xfId="0" applyFont="1" applyBorder="1" applyAlignment="1">
      <alignment horizontal="left" vertical="center" wrapText="1"/>
    </xf>
    <xf numFmtId="0" fontId="4" fillId="0" borderId="20" xfId="0" applyFont="1" applyBorder="1" applyAlignment="1">
      <alignment horizontal="center" vertical="center" wrapText="1"/>
    </xf>
    <xf numFmtId="0" fontId="4" fillId="0" borderId="28" xfId="0" applyFont="1" applyBorder="1" applyAlignment="1">
      <alignment horizontal="center" vertical="center" wrapText="1"/>
    </xf>
    <xf numFmtId="4" fontId="14" fillId="0" borderId="10" xfId="0" applyNumberFormat="1" applyFont="1" applyFill="1" applyBorder="1" applyAlignment="1" applyProtection="1">
      <alignment horizontal="center" vertical="center" wrapText="1"/>
      <protection hidden="1"/>
    </xf>
    <xf numFmtId="2" fontId="4" fillId="0" borderId="11" xfId="0" applyNumberFormat="1" applyFont="1" applyBorder="1" applyAlignment="1">
      <alignment horizontal="center" vertical="center" wrapText="1"/>
    </xf>
    <xf numFmtId="2" fontId="4" fillId="0" borderId="15" xfId="0" applyNumberFormat="1" applyFont="1" applyBorder="1" applyAlignment="1">
      <alignment horizontal="center" vertical="center" wrapText="1"/>
    </xf>
    <xf numFmtId="2" fontId="4" fillId="0" borderId="16" xfId="0" applyNumberFormat="1" applyFont="1" applyBorder="1" applyAlignment="1">
      <alignment horizontal="center" vertical="center" wrapText="1"/>
    </xf>
    <xf numFmtId="4" fontId="14" fillId="0" borderId="11" xfId="0" applyNumberFormat="1" applyFont="1" applyFill="1" applyBorder="1" applyAlignment="1">
      <alignment horizontal="center" vertical="center" wrapText="1"/>
    </xf>
    <xf numFmtId="4" fontId="14" fillId="0" borderId="15" xfId="0" applyNumberFormat="1" applyFont="1" applyFill="1" applyBorder="1" applyAlignment="1">
      <alignment horizontal="center" vertical="center" wrapText="1"/>
    </xf>
    <xf numFmtId="4" fontId="14" fillId="0" borderId="16" xfId="0" applyNumberFormat="1" applyFont="1" applyFill="1" applyBorder="1" applyAlignment="1">
      <alignment horizontal="center" vertical="center" wrapText="1"/>
    </xf>
    <xf numFmtId="4" fontId="14" fillId="0" borderId="10" xfId="0" applyNumberFormat="1"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14" fillId="52" borderId="14" xfId="0" applyFont="1" applyFill="1" applyBorder="1" applyAlignment="1">
      <alignment horizontal="center" vertical="center" wrapText="1"/>
    </xf>
    <xf numFmtId="0" fontId="14" fillId="52" borderId="0" xfId="0" applyFont="1" applyFill="1" applyBorder="1" applyAlignment="1">
      <alignment horizontal="center" vertical="center" wrapText="1"/>
    </xf>
    <xf numFmtId="0" fontId="14" fillId="52" borderId="25" xfId="0" applyFont="1" applyFill="1" applyBorder="1" applyAlignment="1">
      <alignment horizontal="center" vertical="center" wrapText="1"/>
    </xf>
    <xf numFmtId="0" fontId="14" fillId="46" borderId="41" xfId="0" applyFont="1" applyFill="1" applyBorder="1" applyAlignment="1">
      <alignment horizontal="center" vertical="center" wrapText="1"/>
    </xf>
    <xf numFmtId="0" fontId="14" fillId="46" borderId="42" xfId="0" applyFont="1" applyFill="1" applyBorder="1" applyAlignment="1">
      <alignment horizontal="center" vertical="center" wrapText="1"/>
    </xf>
    <xf numFmtId="0" fontId="14" fillId="46" borderId="43" xfId="0" applyFont="1" applyFill="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4" fillId="0" borderId="8" xfId="0" applyFont="1" applyBorder="1" applyAlignment="1">
      <alignment horizontal="left" vertical="center" wrapText="1"/>
    </xf>
    <xf numFmtId="0" fontId="4" fillId="0" borderId="47" xfId="0" applyFont="1" applyBorder="1" applyAlignment="1">
      <alignment horizontal="left" vertical="center" wrapText="1"/>
    </xf>
    <xf numFmtId="0" fontId="4" fillId="0" borderId="48" xfId="0" applyFont="1" applyBorder="1" applyAlignment="1">
      <alignment horizontal="left" vertical="center" wrapText="1"/>
    </xf>
    <xf numFmtId="0" fontId="4" fillId="0" borderId="49" xfId="0" applyFont="1" applyBorder="1" applyAlignment="1">
      <alignment horizontal="left" vertical="center" wrapText="1"/>
    </xf>
    <xf numFmtId="1" fontId="5" fillId="51" borderId="0" xfId="239" applyNumberFormat="1" applyFill="1" applyBorder="1" applyAlignment="1" applyProtection="1">
      <alignment horizontal="center" vertical="center" wrapText="1"/>
    </xf>
    <xf numFmtId="1" fontId="21" fillId="51" borderId="0" xfId="239" applyNumberFormat="1" applyFont="1" applyFill="1" applyBorder="1" applyAlignment="1" applyProtection="1">
      <alignment horizontal="center" vertical="center" wrapText="1"/>
    </xf>
    <xf numFmtId="0" fontId="14" fillId="0" borderId="10" xfId="0" applyFont="1" applyBorder="1" applyAlignment="1" applyProtection="1">
      <alignment horizontal="left" vertical="center" wrapText="1"/>
      <protection hidden="1"/>
    </xf>
    <xf numFmtId="0" fontId="2" fillId="0" borderId="10" xfId="0" applyFont="1" applyBorder="1" applyAlignment="1">
      <alignment horizontal="center" vertical="center"/>
    </xf>
    <xf numFmtId="3" fontId="14" fillId="0" borderId="12" xfId="0" applyNumberFormat="1" applyFont="1" applyFill="1" applyBorder="1" applyAlignment="1" applyProtection="1">
      <alignment horizontal="center" vertical="center"/>
      <protection hidden="1"/>
    </xf>
    <xf numFmtId="3" fontId="14" fillId="0" borderId="17" xfId="0" applyNumberFormat="1" applyFont="1" applyFill="1" applyBorder="1" applyAlignment="1" applyProtection="1">
      <alignment horizontal="center" vertical="center"/>
      <protection hidden="1"/>
    </xf>
    <xf numFmtId="3" fontId="14" fillId="0" borderId="18" xfId="0" applyNumberFormat="1" applyFont="1" applyFill="1" applyBorder="1" applyAlignment="1" applyProtection="1">
      <alignment horizontal="center" vertical="center"/>
      <protection hidden="1"/>
    </xf>
    <xf numFmtId="3" fontId="14" fillId="0" borderId="10" xfId="0" applyNumberFormat="1" applyFont="1" applyFill="1" applyBorder="1" applyAlignment="1" applyProtection="1">
      <alignment horizontal="center" vertical="center"/>
      <protection hidden="1"/>
    </xf>
    <xf numFmtId="0" fontId="4" fillId="0" borderId="11" xfId="0" applyNumberFormat="1" applyFont="1" applyFill="1" applyBorder="1" applyAlignment="1" applyProtection="1">
      <alignment horizontal="center" vertical="center"/>
      <protection hidden="1"/>
    </xf>
    <xf numFmtId="0" fontId="4" fillId="0" borderId="15"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4" fontId="14" fillId="0" borderId="20" xfId="0" applyNumberFormat="1" applyFont="1" applyFill="1" applyBorder="1" applyAlignment="1" applyProtection="1">
      <alignment horizontal="center" vertical="center" wrapText="1"/>
      <protection hidden="1"/>
    </xf>
    <xf numFmtId="4" fontId="14" fillId="0" borderId="28" xfId="0" applyNumberFormat="1" applyFont="1" applyFill="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4" fillId="0" borderId="16" xfId="0" applyFont="1" applyBorder="1" applyAlignment="1" applyProtection="1">
      <alignment horizontal="center" vertical="center" wrapText="1"/>
      <protection hidden="1"/>
    </xf>
    <xf numFmtId="0" fontId="14" fillId="0" borderId="13" xfId="0" applyFont="1" applyBorder="1" applyAlignment="1" applyProtection="1">
      <alignment horizontal="left" vertical="center" wrapText="1"/>
      <protection hidden="1"/>
    </xf>
    <xf numFmtId="0" fontId="14" fillId="0" borderId="20" xfId="0" applyFont="1" applyBorder="1" applyAlignment="1" applyProtection="1">
      <alignment horizontal="left" vertical="center" wrapText="1"/>
      <protection hidden="1"/>
    </xf>
    <xf numFmtId="0" fontId="14" fillId="0" borderId="30" xfId="0" applyFont="1" applyBorder="1" applyAlignment="1" applyProtection="1">
      <alignment horizontal="left" vertical="center" wrapText="1"/>
      <protection hidden="1"/>
    </xf>
    <xf numFmtId="0" fontId="14" fillId="0" borderId="31"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0" borderId="19" xfId="0" applyFont="1" applyBorder="1" applyAlignment="1" applyProtection="1">
      <alignment horizontal="left" vertical="center" wrapText="1"/>
      <protection hidden="1"/>
    </xf>
    <xf numFmtId="165" fontId="4" fillId="0" borderId="13" xfId="0" applyNumberFormat="1" applyFont="1" applyBorder="1" applyAlignment="1" applyProtection="1">
      <alignment horizontal="center" vertical="center"/>
      <protection hidden="1"/>
    </xf>
    <xf numFmtId="165" fontId="4" fillId="0" borderId="30" xfId="0" applyNumberFormat="1" applyFont="1" applyBorder="1" applyAlignment="1" applyProtection="1">
      <alignment horizontal="center" vertical="center"/>
      <protection hidden="1"/>
    </xf>
    <xf numFmtId="165" fontId="4" fillId="0" borderId="31" xfId="0" applyNumberFormat="1" applyFont="1" applyBorder="1" applyAlignment="1" applyProtection="1">
      <alignment horizontal="center" vertical="center"/>
      <protection hidden="1"/>
    </xf>
    <xf numFmtId="165" fontId="4" fillId="0" borderId="19" xfId="0" applyNumberFormat="1" applyFont="1" applyBorder="1" applyAlignment="1" applyProtection="1">
      <alignment horizontal="center" vertical="center"/>
      <protection hidden="1"/>
    </xf>
    <xf numFmtId="4" fontId="4" fillId="0" borderId="11" xfId="0" applyNumberFormat="1" applyFont="1" applyFill="1" applyBorder="1" applyAlignment="1" applyProtection="1">
      <alignment horizontal="center" vertical="center"/>
      <protection hidden="1"/>
    </xf>
    <xf numFmtId="4" fontId="4" fillId="0" borderId="16" xfId="0" applyNumberFormat="1" applyFont="1" applyFill="1" applyBorder="1" applyAlignment="1" applyProtection="1">
      <alignment horizontal="center" vertical="center"/>
      <protection hidden="1"/>
    </xf>
    <xf numFmtId="3" fontId="4" fillId="0" borderId="11" xfId="0" applyNumberFormat="1" applyFont="1" applyFill="1" applyBorder="1" applyAlignment="1" applyProtection="1">
      <alignment horizontal="center" vertical="center" wrapText="1"/>
      <protection hidden="1"/>
    </xf>
    <xf numFmtId="3" fontId="4" fillId="0" borderId="16" xfId="0" applyNumberFormat="1" applyFont="1" applyFill="1" applyBorder="1" applyAlignment="1" applyProtection="1">
      <alignment horizontal="center" vertical="center" wrapText="1"/>
      <protection hidden="1"/>
    </xf>
    <xf numFmtId="165" fontId="4" fillId="0" borderId="10"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hidden="1"/>
    </xf>
    <xf numFmtId="3" fontId="4" fillId="0" borderId="16" xfId="0" applyNumberFormat="1" applyFont="1" applyBorder="1" applyAlignment="1" applyProtection="1">
      <alignment horizontal="center" vertical="center" wrapText="1"/>
      <protection hidden="1"/>
    </xf>
    <xf numFmtId="4" fontId="14" fillId="0" borderId="13" xfId="0" applyNumberFormat="1" applyFont="1" applyFill="1" applyBorder="1" applyAlignment="1" applyProtection="1">
      <alignment horizontal="center" vertical="center"/>
      <protection hidden="1"/>
    </xf>
    <xf numFmtId="4" fontId="14" fillId="0" borderId="20" xfId="0" applyNumberFormat="1" applyFont="1" applyFill="1" applyBorder="1" applyAlignment="1" applyProtection="1">
      <alignment horizontal="center" vertical="center"/>
      <protection hidden="1"/>
    </xf>
    <xf numFmtId="4" fontId="14" fillId="0" borderId="30" xfId="0" applyNumberFormat="1" applyFont="1" applyFill="1" applyBorder="1" applyAlignment="1" applyProtection="1">
      <alignment horizontal="center" vertical="center"/>
      <protection hidden="1"/>
    </xf>
    <xf numFmtId="4" fontId="14" fillId="0" borderId="31" xfId="0" applyNumberFormat="1" applyFont="1" applyFill="1" applyBorder="1" applyAlignment="1" applyProtection="1">
      <alignment horizontal="center" vertical="center"/>
      <protection hidden="1"/>
    </xf>
    <xf numFmtId="4" fontId="14" fillId="0" borderId="28" xfId="0" applyNumberFormat="1" applyFont="1" applyFill="1" applyBorder="1" applyAlignment="1" applyProtection="1">
      <alignment horizontal="center" vertical="center"/>
      <protection hidden="1"/>
    </xf>
    <xf numFmtId="4" fontId="14" fillId="0" borderId="19" xfId="0" applyNumberFormat="1" applyFont="1" applyFill="1" applyBorder="1" applyAlignment="1" applyProtection="1">
      <alignment horizontal="center" vertical="center"/>
      <protection hidden="1"/>
    </xf>
    <xf numFmtId="0" fontId="14" fillId="0" borderId="17" xfId="0" applyFont="1" applyFill="1" applyBorder="1" applyAlignment="1" applyProtection="1">
      <alignment horizontal="left" vertical="center" wrapText="1"/>
      <protection hidden="1"/>
    </xf>
    <xf numFmtId="4" fontId="14" fillId="0" borderId="17" xfId="0" applyNumberFormat="1" applyFont="1" applyFill="1" applyBorder="1" applyAlignment="1" applyProtection="1">
      <alignment horizontal="center" vertical="center" wrapText="1"/>
      <protection hidden="1"/>
    </xf>
    <xf numFmtId="4" fontId="14" fillId="0" borderId="10" xfId="0" applyNumberFormat="1" applyFont="1" applyFill="1" applyBorder="1" applyAlignment="1">
      <alignment horizontal="center" vertical="center"/>
    </xf>
    <xf numFmtId="0" fontId="4" fillId="0" borderId="11"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0" fontId="14" fillId="50" borderId="20" xfId="0" applyFont="1" applyFill="1" applyBorder="1" applyAlignment="1" applyProtection="1">
      <alignment horizontal="left" vertical="center" wrapText="1"/>
      <protection hidden="1"/>
    </xf>
    <xf numFmtId="0" fontId="14" fillId="50" borderId="30" xfId="0" applyFont="1" applyFill="1" applyBorder="1" applyAlignment="1" applyProtection="1">
      <alignment horizontal="left" vertical="center" wrapText="1"/>
      <protection hidden="1"/>
    </xf>
    <xf numFmtId="0" fontId="14" fillId="50" borderId="14" xfId="0" applyFont="1" applyFill="1" applyBorder="1" applyAlignment="1" applyProtection="1">
      <alignment horizontal="left" vertical="center" wrapText="1"/>
      <protection hidden="1"/>
    </xf>
    <xf numFmtId="0" fontId="14" fillId="50" borderId="0" xfId="0" applyFont="1" applyFill="1" applyBorder="1" applyAlignment="1" applyProtection="1">
      <alignment horizontal="left" vertical="center" wrapText="1"/>
      <protection hidden="1"/>
    </xf>
    <xf numFmtId="0" fontId="14" fillId="50" borderId="25" xfId="0" applyFont="1" applyFill="1" applyBorder="1" applyAlignment="1" applyProtection="1">
      <alignment horizontal="left" vertical="center" wrapText="1"/>
      <protection hidden="1"/>
    </xf>
    <xf numFmtId="0" fontId="14" fillId="50" borderId="31" xfId="0" applyFont="1" applyFill="1" applyBorder="1" applyAlignment="1" applyProtection="1">
      <alignment horizontal="left" vertical="center" wrapText="1"/>
      <protection hidden="1"/>
    </xf>
    <xf numFmtId="0" fontId="14" fillId="50" borderId="28" xfId="0" applyFont="1" applyFill="1" applyBorder="1" applyAlignment="1" applyProtection="1">
      <alignment horizontal="left" vertical="center" wrapText="1"/>
      <protection hidden="1"/>
    </xf>
    <xf numFmtId="0" fontId="14" fillId="50" borderId="19" xfId="0" applyFont="1" applyFill="1" applyBorder="1" applyAlignment="1" applyProtection="1">
      <alignment horizontal="left" vertical="center" wrapText="1"/>
      <protection hidden="1"/>
    </xf>
    <xf numFmtId="2" fontId="4" fillId="0" borderId="11" xfId="0" applyNumberFormat="1" applyFont="1" applyBorder="1" applyAlignment="1" applyProtection="1">
      <alignment horizontal="center" vertical="center"/>
      <protection hidden="1"/>
    </xf>
    <xf numFmtId="2" fontId="4" fillId="0" borderId="15" xfId="0" applyNumberFormat="1" applyFont="1" applyBorder="1" applyAlignment="1" applyProtection="1">
      <alignment horizontal="center" vertical="center"/>
      <protection hidden="1"/>
    </xf>
    <xf numFmtId="2" fontId="4" fillId="0" borderId="16" xfId="0" applyNumberFormat="1" applyFont="1" applyBorder="1" applyAlignment="1" applyProtection="1">
      <alignment horizontal="center" vertical="center"/>
      <protection hidden="1"/>
    </xf>
    <xf numFmtId="0" fontId="4" fillId="0" borderId="10" xfId="0" applyNumberFormat="1" applyFont="1" applyBorder="1" applyAlignment="1" applyProtection="1">
      <alignment horizontal="center" vertical="center" wrapText="1"/>
      <protection hidden="1"/>
    </xf>
    <xf numFmtId="2" fontId="4" fillId="0" borderId="10" xfId="0" applyNumberFormat="1" applyFont="1" applyBorder="1" applyAlignment="1" applyProtection="1">
      <alignment horizontal="center" vertical="center"/>
      <protection hidden="1"/>
    </xf>
    <xf numFmtId="14" fontId="9" fillId="0" borderId="28" xfId="0" applyNumberFormat="1" applyFont="1" applyFill="1" applyBorder="1" applyAlignment="1">
      <alignment horizontal="center"/>
    </xf>
    <xf numFmtId="14" fontId="2" fillId="0" borderId="21" xfId="0" applyNumberFormat="1" applyFont="1" applyBorder="1" applyAlignment="1">
      <alignment horizontal="center"/>
    </xf>
    <xf numFmtId="4" fontId="14" fillId="0" borderId="11" xfId="0" applyNumberFormat="1" applyFont="1" applyFill="1" applyBorder="1" applyAlignment="1">
      <alignment horizontal="center" vertical="center"/>
    </xf>
    <xf numFmtId="4" fontId="14" fillId="0" borderId="16"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0" fontId="14" fillId="0" borderId="31" xfId="0" applyFont="1" applyBorder="1" applyAlignment="1" applyProtection="1">
      <alignment horizontal="left" vertical="center"/>
      <protection hidden="1"/>
    </xf>
    <xf numFmtId="0" fontId="14" fillId="0" borderId="28" xfId="0" applyFont="1" applyBorder="1" applyAlignment="1" applyProtection="1">
      <alignment horizontal="left" vertical="center"/>
      <protection hidden="1"/>
    </xf>
    <xf numFmtId="0" fontId="14" fillId="0" borderId="19" xfId="0" applyFont="1" applyBorder="1" applyAlignment="1" applyProtection="1">
      <alignment horizontal="left" vertical="center"/>
      <protection hidden="1"/>
    </xf>
    <xf numFmtId="2" fontId="14" fillId="0" borderId="10" xfId="0" applyNumberFormat="1" applyFont="1" applyFill="1" applyBorder="1" applyAlignment="1">
      <alignment horizontal="center" vertical="center" wrapText="1"/>
    </xf>
    <xf numFmtId="4" fontId="14" fillId="0" borderId="15" xfId="0" applyNumberFormat="1" applyFont="1" applyFill="1" applyBorder="1" applyAlignment="1">
      <alignment horizontal="center" vertical="center"/>
    </xf>
    <xf numFmtId="0" fontId="14" fillId="39" borderId="10" xfId="0" applyFont="1" applyFill="1" applyBorder="1" applyAlignment="1">
      <alignment horizontal="left"/>
    </xf>
    <xf numFmtId="0" fontId="4" fillId="0" borderId="17"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0" fontId="4" fillId="0" borderId="20" xfId="0" applyFont="1" applyBorder="1" applyAlignment="1">
      <alignment horizontal="left" vertical="center"/>
    </xf>
    <xf numFmtId="0" fontId="4" fillId="0" borderId="30" xfId="0" applyFont="1" applyBorder="1" applyAlignment="1">
      <alignment horizontal="left" vertical="center"/>
    </xf>
    <xf numFmtId="0" fontId="4" fillId="0" borderId="31" xfId="0" applyFont="1" applyBorder="1" applyAlignment="1">
      <alignment horizontal="left" vertical="center"/>
    </xf>
    <xf numFmtId="0" fontId="4" fillId="0" borderId="28" xfId="0" applyFont="1" applyBorder="1" applyAlignment="1">
      <alignment horizontal="left" vertical="center"/>
    </xf>
    <xf numFmtId="0" fontId="4" fillId="0" borderId="19" xfId="0" applyFont="1" applyBorder="1" applyAlignment="1">
      <alignment horizontal="left" vertical="center"/>
    </xf>
    <xf numFmtId="4" fontId="14" fillId="0" borderId="17" xfId="0" applyNumberFormat="1" applyFont="1" applyFill="1" applyBorder="1" applyAlignment="1">
      <alignment horizontal="center" vertical="center"/>
    </xf>
    <xf numFmtId="0" fontId="14" fillId="0" borderId="14"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4" fillId="0" borderId="12" xfId="0" applyFont="1" applyBorder="1" applyAlignment="1">
      <alignment horizontal="left"/>
    </xf>
    <xf numFmtId="0" fontId="4" fillId="0" borderId="17" xfId="0" applyFont="1" applyBorder="1" applyAlignment="1">
      <alignment horizontal="left"/>
    </xf>
    <xf numFmtId="0" fontId="4" fillId="0" borderId="18" xfId="0" applyFont="1" applyBorder="1" applyAlignment="1">
      <alignment horizontal="left"/>
    </xf>
    <xf numFmtId="0" fontId="4" fillId="0" borderId="12" xfId="0" applyFont="1" applyFill="1" applyBorder="1" applyAlignment="1">
      <alignment horizontal="left"/>
    </xf>
    <xf numFmtId="0" fontId="4" fillId="0" borderId="17" xfId="0" applyFont="1" applyFill="1" applyBorder="1" applyAlignment="1">
      <alignment horizontal="left"/>
    </xf>
    <xf numFmtId="0" fontId="4" fillId="0" borderId="18" xfId="0" applyFont="1" applyFill="1" applyBorder="1" applyAlignment="1">
      <alignment horizontal="left"/>
    </xf>
    <xf numFmtId="2" fontId="14" fillId="0" borderId="11" xfId="0" applyNumberFormat="1" applyFont="1" applyBorder="1" applyAlignment="1">
      <alignment horizontal="center" vertical="center" wrapText="1"/>
    </xf>
    <xf numFmtId="4" fontId="14" fillId="0" borderId="13" xfId="0" applyNumberFormat="1" applyFont="1" applyFill="1" applyBorder="1" applyAlignment="1">
      <alignment horizontal="center" vertical="center"/>
    </xf>
    <xf numFmtId="4" fontId="14" fillId="0" borderId="20" xfId="0" applyNumberFormat="1" applyFont="1" applyFill="1" applyBorder="1" applyAlignment="1">
      <alignment horizontal="center" vertical="center"/>
    </xf>
    <xf numFmtId="4" fontId="14" fillId="0" borderId="30" xfId="0" applyNumberFormat="1" applyFont="1" applyFill="1" applyBorder="1" applyAlignment="1">
      <alignment horizontal="center" vertical="center"/>
    </xf>
    <xf numFmtId="4" fontId="14" fillId="0" borderId="31" xfId="0" applyNumberFormat="1" applyFont="1" applyFill="1" applyBorder="1" applyAlignment="1">
      <alignment horizontal="center" vertical="center"/>
    </xf>
    <xf numFmtId="4" fontId="14" fillId="0" borderId="28" xfId="0" applyNumberFormat="1" applyFont="1" applyFill="1" applyBorder="1" applyAlignment="1">
      <alignment horizontal="center" vertical="center"/>
    </xf>
    <xf numFmtId="4" fontId="14" fillId="0" borderId="19" xfId="0" applyNumberFormat="1" applyFont="1" applyFill="1" applyBorder="1" applyAlignment="1">
      <alignment horizontal="center" vertical="center"/>
    </xf>
    <xf numFmtId="0" fontId="14" fillId="39" borderId="13" xfId="0" applyFont="1" applyFill="1" applyBorder="1" applyAlignment="1">
      <alignment horizontal="center" vertical="center"/>
    </xf>
    <xf numFmtId="0" fontId="14" fillId="39" borderId="20" xfId="0" applyFont="1" applyFill="1" applyBorder="1" applyAlignment="1">
      <alignment horizontal="center" vertical="center"/>
    </xf>
    <xf numFmtId="0" fontId="14" fillId="39" borderId="30" xfId="0" applyFont="1" applyFill="1" applyBorder="1" applyAlignment="1">
      <alignment horizontal="center" vertical="center"/>
    </xf>
    <xf numFmtId="0" fontId="14" fillId="39" borderId="31" xfId="0" applyFont="1" applyFill="1" applyBorder="1" applyAlignment="1">
      <alignment horizontal="center" vertical="center"/>
    </xf>
    <xf numFmtId="0" fontId="14" fillId="39" borderId="28" xfId="0" applyFont="1" applyFill="1" applyBorder="1" applyAlignment="1">
      <alignment horizontal="center" vertical="center"/>
    </xf>
    <xf numFmtId="0" fontId="14" fillId="39" borderId="19" xfId="0" applyFont="1" applyFill="1" applyBorder="1" applyAlignment="1">
      <alignment horizontal="center" vertical="center"/>
    </xf>
    <xf numFmtId="4" fontId="14" fillId="0" borderId="14" xfId="0" applyNumberFormat="1" applyFont="1" applyFill="1" applyBorder="1" applyAlignment="1">
      <alignment horizontal="center" vertical="center"/>
    </xf>
    <xf numFmtId="4" fontId="14" fillId="0" borderId="0" xfId="0" applyNumberFormat="1" applyFont="1" applyFill="1" applyBorder="1" applyAlignment="1">
      <alignment horizontal="center" vertical="center"/>
    </xf>
    <xf numFmtId="4" fontId="14" fillId="0" borderId="25" xfId="0" applyNumberFormat="1" applyFont="1" applyFill="1" applyBorder="1" applyAlignment="1">
      <alignment horizontal="center" vertical="center"/>
    </xf>
    <xf numFmtId="0" fontId="14" fillId="0" borderId="11" xfId="0" applyFont="1" applyFill="1" applyBorder="1" applyAlignment="1">
      <alignment horizontal="center" vertical="center"/>
    </xf>
    <xf numFmtId="0" fontId="14" fillId="0" borderId="15" xfId="0" applyFont="1" applyFill="1" applyBorder="1" applyAlignment="1">
      <alignment horizontal="center" vertical="center"/>
    </xf>
    <xf numFmtId="0" fontId="14" fillId="39" borderId="11" xfId="0" applyFont="1" applyFill="1" applyBorder="1" applyAlignment="1">
      <alignment horizontal="center" vertical="center"/>
    </xf>
    <xf numFmtId="0" fontId="14" fillId="39" borderId="16" xfId="0" applyFont="1" applyFill="1" applyBorder="1" applyAlignment="1">
      <alignment horizontal="center" vertical="center"/>
    </xf>
    <xf numFmtId="165" fontId="14" fillId="39" borderId="12" xfId="0" applyNumberFormat="1" applyFont="1" applyFill="1" applyBorder="1" applyAlignment="1">
      <alignment horizontal="center" vertical="center"/>
    </xf>
    <xf numFmtId="165" fontId="14" fillId="39" borderId="17" xfId="0" applyNumberFormat="1" applyFont="1" applyFill="1" applyBorder="1" applyAlignment="1">
      <alignment horizontal="center" vertical="center"/>
    </xf>
    <xf numFmtId="165" fontId="14" fillId="39" borderId="18"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xf>
    <xf numFmtId="0" fontId="9" fillId="0" borderId="10" xfId="0" applyFont="1" applyBorder="1" applyAlignment="1">
      <alignment horizontal="center" vertical="center" wrapText="1"/>
    </xf>
    <xf numFmtId="0" fontId="4" fillId="0" borderId="10" xfId="0" applyFont="1" applyFill="1" applyBorder="1" applyAlignment="1">
      <alignment horizontal="center" wrapText="1"/>
    </xf>
    <xf numFmtId="0" fontId="9" fillId="0" borderId="11"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4" fillId="0" borderId="11" xfId="0" applyFont="1" applyFill="1" applyBorder="1" applyAlignment="1">
      <alignment horizontal="center" wrapText="1"/>
    </xf>
    <xf numFmtId="0" fontId="4" fillId="0" borderId="15" xfId="0" applyFont="1" applyFill="1" applyBorder="1" applyAlignment="1">
      <alignment horizontal="center" wrapText="1"/>
    </xf>
    <xf numFmtId="0" fontId="4" fillId="0" borderId="16" xfId="0" applyFont="1" applyFill="1" applyBorder="1" applyAlignment="1">
      <alignment horizontal="center" wrapText="1"/>
    </xf>
    <xf numFmtId="0" fontId="4" fillId="0" borderId="50" xfId="0" applyFont="1" applyFill="1" applyBorder="1" applyAlignment="1">
      <alignment horizontal="center" vertical="center" wrapText="1"/>
    </xf>
    <xf numFmtId="0" fontId="4" fillId="0" borderId="51" xfId="0" applyFont="1" applyFill="1" applyBorder="1" applyAlignment="1">
      <alignment horizontal="center" vertical="center" wrapText="1"/>
    </xf>
    <xf numFmtId="4" fontId="4" fillId="0" borderId="13" xfId="0" applyNumberFormat="1" applyFont="1" applyFill="1" applyBorder="1" applyAlignment="1">
      <alignment horizontal="center" vertical="center" wrapText="1"/>
    </xf>
    <xf numFmtId="4" fontId="4" fillId="0" borderId="20" xfId="0" applyNumberFormat="1" applyFont="1" applyFill="1" applyBorder="1" applyAlignment="1">
      <alignment horizontal="center" vertical="center" wrapText="1"/>
    </xf>
    <xf numFmtId="4" fontId="4" fillId="0" borderId="30" xfId="0" applyNumberFormat="1" applyFont="1" applyFill="1" applyBorder="1" applyAlignment="1">
      <alignment horizontal="center" vertical="center" wrapText="1"/>
    </xf>
    <xf numFmtId="0" fontId="9" fillId="0" borderId="11" xfId="0" applyNumberFormat="1" applyFont="1" applyFill="1" applyBorder="1" applyAlignment="1">
      <alignment horizontal="center" vertical="center" wrapText="1"/>
    </xf>
    <xf numFmtId="0" fontId="9" fillId="0" borderId="15" xfId="0" applyNumberFormat="1" applyFont="1" applyFill="1" applyBorder="1" applyAlignment="1">
      <alignment horizontal="center" vertical="center" wrapText="1"/>
    </xf>
    <xf numFmtId="0" fontId="9" fillId="0" borderId="16"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0" fontId="2" fillId="0" borderId="20" xfId="0" applyFont="1" applyBorder="1" applyAlignment="1">
      <alignment horizontal="center" vertical="center"/>
    </xf>
    <xf numFmtId="0" fontId="2" fillId="0" borderId="30"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2" fillId="0" borderId="31" xfId="0" applyFont="1" applyBorder="1" applyAlignment="1">
      <alignment horizontal="center" vertical="center"/>
    </xf>
    <xf numFmtId="0" fontId="2" fillId="0" borderId="28" xfId="0" applyFont="1" applyBorder="1" applyAlignment="1">
      <alignment horizontal="center" vertical="center"/>
    </xf>
    <xf numFmtId="0" fontId="2" fillId="0" borderId="19" xfId="0" applyFont="1" applyBorder="1" applyAlignment="1">
      <alignment horizontal="center" vertical="center"/>
    </xf>
    <xf numFmtId="4" fontId="4" fillId="0" borderId="31" xfId="0" applyNumberFormat="1" applyFont="1" applyFill="1" applyBorder="1" applyAlignment="1">
      <alignment horizontal="center" vertical="center" wrapText="1"/>
    </xf>
    <xf numFmtId="4" fontId="4" fillId="0" borderId="28"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center" wrapText="1"/>
    </xf>
    <xf numFmtId="0" fontId="9" fillId="0" borderId="11" xfId="0" applyNumberFormat="1" applyFont="1" applyFill="1" applyBorder="1" applyAlignment="1">
      <alignment horizontal="center" vertical="center"/>
    </xf>
    <xf numFmtId="0" fontId="9" fillId="0" borderId="16" xfId="0" applyNumberFormat="1" applyFont="1" applyFill="1" applyBorder="1" applyAlignment="1">
      <alignment horizontal="center" vertical="center"/>
    </xf>
    <xf numFmtId="2" fontId="14" fillId="0" borderId="11" xfId="0" applyNumberFormat="1" applyFont="1" applyFill="1" applyBorder="1" applyAlignment="1">
      <alignment horizontal="center" vertical="center" wrapText="1"/>
    </xf>
    <xf numFmtId="2" fontId="14" fillId="0" borderId="16" xfId="0" applyNumberFormat="1" applyFont="1" applyFill="1" applyBorder="1" applyAlignment="1">
      <alignment horizontal="center" vertical="center" wrapText="1"/>
    </xf>
    <xf numFmtId="49" fontId="4" fillId="0" borderId="10" xfId="0" applyNumberFormat="1" applyFont="1" applyFill="1" applyBorder="1" applyAlignment="1">
      <alignment horizontal="center" wrapText="1"/>
    </xf>
    <xf numFmtId="49" fontId="4" fillId="0" borderId="11" xfId="0" applyNumberFormat="1" applyFont="1" applyFill="1" applyBorder="1" applyAlignment="1">
      <alignment horizontal="center" wrapText="1"/>
    </xf>
    <xf numFmtId="49" fontId="4" fillId="0" borderId="16" xfId="0" applyNumberFormat="1" applyFont="1" applyFill="1" applyBorder="1" applyAlignment="1">
      <alignment horizontal="center" wrapText="1"/>
    </xf>
    <xf numFmtId="49" fontId="14" fillId="0" borderId="10" xfId="0" applyNumberFormat="1" applyFont="1" applyFill="1" applyBorder="1" applyAlignment="1">
      <alignment horizontal="center" vertical="center" wrapText="1"/>
    </xf>
    <xf numFmtId="0" fontId="9" fillId="0" borderId="30" xfId="0" applyNumberFormat="1" applyFont="1" applyFill="1" applyBorder="1" applyAlignment="1">
      <alignment horizontal="center" vertical="center"/>
    </xf>
    <xf numFmtId="0" fontId="9" fillId="0" borderId="19" xfId="0" applyNumberFormat="1" applyFont="1" applyFill="1" applyBorder="1" applyAlignment="1">
      <alignment horizontal="center" vertical="center"/>
    </xf>
    <xf numFmtId="166" fontId="9" fillId="46" borderId="10" xfId="0" applyNumberFormat="1" applyFont="1" applyFill="1" applyBorder="1" applyAlignment="1">
      <alignment horizontal="center" vertical="center" wrapText="1"/>
    </xf>
    <xf numFmtId="0" fontId="2" fillId="0" borderId="0" xfId="0" applyFont="1" applyBorder="1" applyAlignment="1">
      <alignment horizontal="right"/>
    </xf>
    <xf numFmtId="0" fontId="2" fillId="46" borderId="10" xfId="0" applyFont="1" applyFill="1" applyBorder="1" applyAlignment="1">
      <alignment horizontal="center" vertical="center" wrapText="1"/>
    </xf>
    <xf numFmtId="14" fontId="4" fillId="0" borderId="0" xfId="0" applyNumberFormat="1" applyFont="1" applyFill="1" applyBorder="1" applyAlignment="1">
      <alignment horizontal="center"/>
    </xf>
    <xf numFmtId="0" fontId="7" fillId="0" borderId="10" xfId="0" applyFont="1" applyFill="1" applyBorder="1" applyAlignment="1">
      <alignment horizontal="center" wrapText="1"/>
    </xf>
    <xf numFmtId="0" fontId="4" fillId="0" borderId="20" xfId="0" applyFont="1" applyFill="1" applyBorder="1" applyAlignment="1">
      <alignment horizontal="left" vertical="top" wrapText="1"/>
    </xf>
    <xf numFmtId="0" fontId="4" fillId="0" borderId="28" xfId="0" applyFont="1" applyFill="1" applyBorder="1" applyAlignment="1">
      <alignment horizontal="right"/>
    </xf>
    <xf numFmtId="0" fontId="2" fillId="0" borderId="10" xfId="0" applyFont="1" applyBorder="1" applyAlignment="1">
      <alignment horizontal="center"/>
    </xf>
    <xf numFmtId="0" fontId="9" fillId="46" borderId="12" xfId="0" applyFont="1" applyFill="1" applyBorder="1" applyAlignment="1">
      <alignment horizontal="center" vertical="center"/>
    </xf>
    <xf numFmtId="0" fontId="9" fillId="46" borderId="17" xfId="0" applyFont="1" applyFill="1" applyBorder="1" applyAlignment="1">
      <alignment horizontal="center" vertic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5" xfId="0" applyFont="1" applyBorder="1" applyAlignment="1">
      <alignment horizontal="center"/>
    </xf>
    <xf numFmtId="0" fontId="9" fillId="47" borderId="11" xfId="0" applyFont="1" applyFill="1" applyBorder="1" applyAlignment="1">
      <alignment horizontal="center" vertical="center"/>
    </xf>
    <xf numFmtId="0" fontId="9" fillId="47" borderId="16" xfId="0" applyFont="1" applyFill="1" applyBorder="1" applyAlignment="1">
      <alignment horizontal="center" vertical="center"/>
    </xf>
    <xf numFmtId="1" fontId="14" fillId="33" borderId="10" xfId="0" applyNumberFormat="1" applyFont="1" applyFill="1" applyBorder="1" applyAlignment="1">
      <alignment horizontal="center" vertical="center" wrapText="1"/>
    </xf>
    <xf numFmtId="0" fontId="29" fillId="0" borderId="11" xfId="0" applyNumberFormat="1" applyFont="1" applyFill="1" applyBorder="1" applyAlignment="1" applyProtection="1">
      <alignment horizontal="left" vertical="center" wrapText="1"/>
    </xf>
    <xf numFmtId="0" fontId="29" fillId="0" borderId="16" xfId="0" applyNumberFormat="1" applyFont="1" applyFill="1" applyBorder="1" applyAlignment="1" applyProtection="1">
      <alignment horizontal="left" vertical="center" wrapText="1"/>
    </xf>
    <xf numFmtId="0" fontId="29" fillId="0" borderId="11" xfId="0" applyNumberFormat="1" applyFont="1" applyFill="1" applyBorder="1" applyAlignment="1" applyProtection="1">
      <alignment horizontal="center" vertical="center"/>
    </xf>
    <xf numFmtId="0" fontId="29" fillId="0" borderId="16" xfId="0" applyNumberFormat="1" applyFont="1" applyFill="1" applyBorder="1" applyAlignment="1" applyProtection="1">
      <alignment horizontal="center" vertical="center"/>
    </xf>
    <xf numFmtId="0" fontId="29" fillId="0" borderId="15" xfId="0" applyNumberFormat="1" applyFont="1" applyFill="1" applyBorder="1" applyAlignment="1" applyProtection="1">
      <alignment horizontal="center" vertical="center"/>
    </xf>
    <xf numFmtId="2" fontId="29" fillId="0" borderId="11" xfId="0" applyNumberFormat="1" applyFont="1" applyFill="1" applyBorder="1" applyAlignment="1" applyProtection="1">
      <alignment horizontal="center" vertical="center" wrapText="1"/>
    </xf>
    <xf numFmtId="2" fontId="29" fillId="0" borderId="16" xfId="0" applyNumberFormat="1" applyFont="1" applyFill="1" applyBorder="1" applyAlignment="1" applyProtection="1">
      <alignment horizontal="center" vertical="center" wrapText="1"/>
    </xf>
    <xf numFmtId="165" fontId="29" fillId="0" borderId="11" xfId="0" applyNumberFormat="1" applyFont="1" applyFill="1" applyBorder="1" applyAlignment="1" applyProtection="1">
      <alignment horizontal="center" vertical="center"/>
    </xf>
    <xf numFmtId="165" fontId="29" fillId="0" borderId="15" xfId="0" applyNumberFormat="1" applyFont="1" applyFill="1" applyBorder="1" applyAlignment="1" applyProtection="1">
      <alignment horizontal="center" vertical="center"/>
    </xf>
    <xf numFmtId="165" fontId="29" fillId="0" borderId="16" xfId="0" applyNumberFormat="1" applyFont="1" applyFill="1" applyBorder="1" applyAlignment="1" applyProtection="1">
      <alignment horizontal="center" vertical="center"/>
    </xf>
    <xf numFmtId="2" fontId="4" fillId="0" borderId="1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2" fontId="4" fillId="0" borderId="16" xfId="0" applyNumberFormat="1" applyFont="1" applyFill="1" applyBorder="1" applyAlignment="1">
      <alignment horizontal="center" vertical="center"/>
    </xf>
    <xf numFmtId="0" fontId="29" fillId="0" borderId="11" xfId="0" applyNumberFormat="1" applyFont="1" applyFill="1" applyBorder="1" applyAlignment="1" applyProtection="1">
      <alignment horizontal="left" vertical="center"/>
    </xf>
    <xf numFmtId="0" fontId="29" fillId="0" borderId="15" xfId="0" applyNumberFormat="1" applyFont="1" applyFill="1" applyBorder="1" applyAlignment="1" applyProtection="1">
      <alignment horizontal="left" vertical="center"/>
    </xf>
    <xf numFmtId="0" fontId="29" fillId="0" borderId="16" xfId="0" applyNumberFormat="1" applyFont="1" applyFill="1" applyBorder="1" applyAlignment="1" applyProtection="1">
      <alignment horizontal="left" vertical="center"/>
    </xf>
    <xf numFmtId="2" fontId="29" fillId="0" borderId="10"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left" vertical="center" wrapText="1"/>
    </xf>
    <xf numFmtId="165" fontId="29" fillId="0" borderId="10" xfId="0" applyNumberFormat="1" applyFont="1" applyFill="1" applyBorder="1" applyAlignment="1" applyProtection="1">
      <alignment horizontal="center" vertical="center"/>
    </xf>
    <xf numFmtId="2" fontId="4" fillId="0" borderId="15" xfId="0" applyNumberFormat="1" applyFont="1" applyFill="1" applyBorder="1" applyAlignment="1">
      <alignment horizontal="center" vertical="center" wrapText="1"/>
    </xf>
    <xf numFmtId="0" fontId="29" fillId="0" borderId="10" xfId="0" applyNumberFormat="1" applyFont="1" applyFill="1" applyBorder="1" applyAlignment="1" applyProtection="1">
      <alignment horizontal="left" vertical="center"/>
    </xf>
    <xf numFmtId="0" fontId="29" fillId="0" borderId="15" xfId="0" applyNumberFormat="1" applyFont="1" applyFill="1" applyBorder="1" applyAlignment="1" applyProtection="1">
      <alignment horizontal="left" vertical="center" wrapText="1"/>
    </xf>
    <xf numFmtId="2" fontId="4" fillId="47" borderId="12" xfId="0" applyNumberFormat="1" applyFont="1" applyFill="1" applyBorder="1" applyAlignment="1">
      <alignment horizontal="center" vertical="center" wrapText="1"/>
    </xf>
    <xf numFmtId="2" fontId="4" fillId="47" borderId="17" xfId="0" applyNumberFormat="1" applyFont="1" applyFill="1" applyBorder="1" applyAlignment="1">
      <alignment horizontal="center" vertical="center" wrapText="1"/>
    </xf>
    <xf numFmtId="2" fontId="4" fillId="47" borderId="18" xfId="0" applyNumberFormat="1" applyFont="1" applyFill="1" applyBorder="1" applyAlignment="1">
      <alignment horizontal="center" vertical="center" wrapText="1"/>
    </xf>
    <xf numFmtId="0" fontId="30" fillId="47" borderId="11" xfId="0" applyNumberFormat="1" applyFont="1" applyFill="1" applyBorder="1" applyAlignment="1" applyProtection="1">
      <alignment horizontal="left" vertical="center"/>
    </xf>
    <xf numFmtId="0" fontId="30" fillId="47" borderId="16" xfId="0" applyNumberFormat="1" applyFont="1" applyFill="1" applyBorder="1" applyAlignment="1" applyProtection="1">
      <alignment horizontal="left" vertical="center"/>
    </xf>
    <xf numFmtId="0" fontId="30" fillId="47" borderId="11" xfId="0" applyNumberFormat="1" applyFont="1" applyFill="1" applyBorder="1" applyAlignment="1" applyProtection="1">
      <alignment horizontal="left" vertical="center" wrapText="1"/>
    </xf>
    <xf numFmtId="0" fontId="30" fillId="47" borderId="16" xfId="0" applyNumberFormat="1" applyFont="1" applyFill="1" applyBorder="1" applyAlignment="1" applyProtection="1">
      <alignment horizontal="left" vertical="center" wrapText="1"/>
    </xf>
    <xf numFmtId="0" fontId="2" fillId="0" borderId="13" xfId="0" applyFont="1" applyFill="1" applyBorder="1" applyAlignment="1">
      <alignment horizontal="center" vertical="center"/>
    </xf>
    <xf numFmtId="0" fontId="2" fillId="0" borderId="31" xfId="0" applyFont="1" applyFill="1" applyBorder="1" applyAlignment="1">
      <alignment horizontal="center" vertical="center"/>
    </xf>
    <xf numFmtId="2" fontId="29" fillId="0" borderId="11" xfId="0" applyNumberFormat="1" applyFont="1" applyFill="1" applyBorder="1" applyAlignment="1" applyProtection="1">
      <alignment horizontal="center" vertical="center"/>
    </xf>
    <xf numFmtId="2" fontId="29" fillId="0" borderId="16" xfId="0" applyNumberFormat="1" applyFont="1" applyFill="1" applyBorder="1" applyAlignment="1" applyProtection="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14" fillId="0" borderId="24" xfId="0" applyFont="1" applyFill="1" applyBorder="1" applyAlignment="1">
      <alignment horizontal="center" vertical="center"/>
    </xf>
    <xf numFmtId="0" fontId="14" fillId="0" borderId="32" xfId="0" applyFont="1" applyFill="1" applyBorder="1" applyAlignment="1">
      <alignment horizontal="center" vertical="center"/>
    </xf>
    <xf numFmtId="0" fontId="14" fillId="0" borderId="35" xfId="0" applyFont="1" applyFill="1" applyBorder="1" applyAlignment="1">
      <alignment horizontal="center" vertical="center"/>
    </xf>
    <xf numFmtId="0" fontId="14" fillId="0" borderId="32"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38" xfId="0" applyFont="1" applyFill="1" applyBorder="1" applyAlignment="1">
      <alignment horizontal="center" vertical="center"/>
    </xf>
    <xf numFmtId="0" fontId="52" fillId="0" borderId="22" xfId="0" applyFont="1" applyFill="1" applyBorder="1" applyAlignment="1">
      <alignment horizontal="center" vertical="center" wrapText="1"/>
    </xf>
    <xf numFmtId="0" fontId="52" fillId="0" borderId="24" xfId="0" applyFont="1" applyFill="1" applyBorder="1" applyAlignment="1">
      <alignment horizontal="center" vertical="center" wrapText="1"/>
    </xf>
  </cellXfs>
  <cellStyles count="372">
    <cellStyle name=" 1" xfId="1"/>
    <cellStyle name="_~1613671" xfId="2"/>
    <cellStyle name="_~1613671 2" xfId="3"/>
    <cellStyle name="_~1613671 3" xfId="4"/>
    <cellStyle name="_~1613671 4" xfId="5"/>
    <cellStyle name="_~7644457" xfId="6"/>
    <cellStyle name="_~7644457 2" xfId="7"/>
    <cellStyle name="_~7644457 3" xfId="8"/>
    <cellStyle name="_~7644457 4" xfId="9"/>
    <cellStyle name="_price_der_nov_раб" xfId="10"/>
    <cellStyle name="_price_der_nov_раб_~2260219" xfId="11"/>
    <cellStyle name="_price_der_nov_раб_~2260219 2" xfId="12"/>
    <cellStyle name="_price_der_nov_раб_~2260219_~2131575" xfId="13"/>
    <cellStyle name="_price_der_nov_раб_~2260219_Decra" xfId="14"/>
    <cellStyle name="_price_der_nov_раб_~2260219_Vilpe" xfId="15"/>
    <cellStyle name="_price_der_nov_раб_~2260219_Дилерский прайс-лист 03.03.14 Единый+Q35" xfId="16"/>
    <cellStyle name="_price_der_nov_раб_~2260219_Макет временных" xfId="17"/>
    <cellStyle name="_price_der_nov_раб_~2260219_Прайс полный ассортимент Центр от 09.07" xfId="18"/>
    <cellStyle name="_price_der_nov_раб_~2260219_Розничный прайс-лист 03.03.14" xfId="19"/>
    <cellStyle name="_price_der_nov_раб_~2260219_Розничный прайс-лист 07.04.14" xfId="20"/>
    <cellStyle name="_price_der_nov_раб_~2260219_Цокольные панели Ванштайн" xfId="21"/>
    <cellStyle name="_price_der_nov_раб_~2260219_Цокольные панели Ванштайн 2" xfId="22"/>
    <cellStyle name="_price_der_nov_раб_~6447645" xfId="23"/>
    <cellStyle name="_price_der_nov_раб_GL розничный прайс Краснодар - 03.09.12" xfId="24"/>
    <cellStyle name="_price_der_nov_раб_дилерский прайс - лист 17.02.12 ПИТЕР" xfId="25"/>
    <cellStyle name="_price_der_nov_раб_дилерский прайс - лист 18.04.12" xfId="26"/>
    <cellStyle name="_price_der_nov_раб_Прайс для Краснодара 2" xfId="27"/>
    <cellStyle name="_price_der_nov_раб_Прайс полный ассортимент 22.12.2010  Центр" xfId="28"/>
    <cellStyle name="_price_der_nov_раб_Прайс полный ассортимент от 06.02.12 Одинцово" xfId="29"/>
    <cellStyle name="_price_der_nov_раб_Прайс полный ассортимент от 06.02.12 Центр" xfId="30"/>
    <cellStyle name="_price_der_nov_раб_Прайс полный ассортимент от 19.10.2011 Центр" xfId="31"/>
    <cellStyle name="_price_der_nov_раб_Прайс полный ассортимент СПБ  от 22.08.12 Ворота + фигурный профнастил" xfId="32"/>
    <cellStyle name="_price_der_nov_раб_Прайс полный ассортимент Центр от 01.06.12" xfId="33"/>
    <cellStyle name="_price_der_nov_раб_Прайс полный ассортимент Центр от 06.08.12" xfId="34"/>
    <cellStyle name="_price_der_nov_раб_Прайс полный ассортимент Центр от 22.08.12 Ворота + фигурный профнастил" xfId="35"/>
    <cellStyle name="_price_der_nov_раб_Прайс полный ассортимент Центр от 29.06.12" xfId="36"/>
    <cellStyle name="_Книга2" xfId="37"/>
    <cellStyle name="_Книга2 2" xfId="38"/>
    <cellStyle name="_Книга2 3" xfId="39"/>
    <cellStyle name="_Книга2 4" xfId="40"/>
    <cellStyle name="_лестницы" xfId="41"/>
    <cellStyle name="_лестницы 2" xfId="42"/>
    <cellStyle name="_лестницы 3" xfId="43"/>
    <cellStyle name="_лестницы 4" xfId="44"/>
    <cellStyle name="_прайс-лист розница" xfId="45"/>
    <cellStyle name="_прайс-лист розница 2" xfId="46"/>
    <cellStyle name="_прайс-лист розница 3" xfId="47"/>
    <cellStyle name="_прайс-лист розница 4" xfId="48"/>
    <cellStyle name="-15-1976" xfId="49"/>
    <cellStyle name="-15-1976 2" xfId="50"/>
    <cellStyle name="-15-1976 3" xfId="51"/>
    <cellStyle name="-15-1976 4" xfId="52"/>
    <cellStyle name="20% - Акцент1 2" xfId="53"/>
    <cellStyle name="20% - Акцент1 2 2" xfId="54"/>
    <cellStyle name="20% - Акцент1 2 3" xfId="55"/>
    <cellStyle name="20% - Акцент1 2 4" xfId="56"/>
    <cellStyle name="20% - Акцент1 3" xfId="57"/>
    <cellStyle name="20% - Акцент2 2" xfId="58"/>
    <cellStyle name="20% - Акцент2 2 2" xfId="59"/>
    <cellStyle name="20% - Акцент2 2 3" xfId="60"/>
    <cellStyle name="20% - Акцент2 2 4" xfId="61"/>
    <cellStyle name="20% - Акцент2 3" xfId="62"/>
    <cellStyle name="20% - Акцент3 2" xfId="63"/>
    <cellStyle name="20% - Акцент3 2 2" xfId="64"/>
    <cellStyle name="20% - Акцент3 2 3" xfId="65"/>
    <cellStyle name="20% - Акцент3 2 4" xfId="66"/>
    <cellStyle name="20% - Акцент3 3" xfId="67"/>
    <cellStyle name="20% - Акцент4 2" xfId="68"/>
    <cellStyle name="20% - Акцент4 2 2" xfId="69"/>
    <cellStyle name="20% - Акцент4 2 3" xfId="70"/>
    <cellStyle name="20% - Акцент4 2 4" xfId="71"/>
    <cellStyle name="20% - Акцент4 3" xfId="72"/>
    <cellStyle name="20% - Акцент5 2" xfId="73"/>
    <cellStyle name="20% - Акцент5 2 2" xfId="74"/>
    <cellStyle name="20% - Акцент5 2 3" xfId="75"/>
    <cellStyle name="20% - Акцент5 2 4" xfId="76"/>
    <cellStyle name="20% - Акцент5 3" xfId="77"/>
    <cellStyle name="20% - Акцент6 2" xfId="78"/>
    <cellStyle name="20% - Акцент6 2 2" xfId="79"/>
    <cellStyle name="20% - Акцент6 2 3" xfId="80"/>
    <cellStyle name="20% - Акцент6 2 4" xfId="81"/>
    <cellStyle name="20% - Акцент6 3" xfId="82"/>
    <cellStyle name="40% - Акцент1 2" xfId="83"/>
    <cellStyle name="40% - Акцент1 2 2" xfId="84"/>
    <cellStyle name="40% - Акцент1 2 3" xfId="85"/>
    <cellStyle name="40% - Акцент1 2 4" xfId="86"/>
    <cellStyle name="40% - Акцент1 3" xfId="87"/>
    <cellStyle name="40% - Акцент2 2" xfId="88"/>
    <cellStyle name="40% - Акцент2 2 2" xfId="89"/>
    <cellStyle name="40% - Акцент2 2 3" xfId="90"/>
    <cellStyle name="40% - Акцент2 2 4" xfId="91"/>
    <cellStyle name="40% - Акцент2 3" xfId="92"/>
    <cellStyle name="40% - Акцент3 2" xfId="93"/>
    <cellStyle name="40% - Акцент3 2 2" xfId="94"/>
    <cellStyle name="40% - Акцент3 2 3" xfId="95"/>
    <cellStyle name="40% - Акцент3 2 4" xfId="96"/>
    <cellStyle name="40% - Акцент3 3" xfId="97"/>
    <cellStyle name="40% - Акцент4 2" xfId="98"/>
    <cellStyle name="40% - Акцент4 2 2" xfId="99"/>
    <cellStyle name="40% - Акцент4 2 3" xfId="100"/>
    <cellStyle name="40% - Акцент4 2 4" xfId="101"/>
    <cellStyle name="40% - Акцент4 3" xfId="102"/>
    <cellStyle name="40% - Акцент5 2" xfId="103"/>
    <cellStyle name="40% - Акцент5 2 2" xfId="104"/>
    <cellStyle name="40% - Акцент5 2 3" xfId="105"/>
    <cellStyle name="40% - Акцент5 2 4" xfId="106"/>
    <cellStyle name="40% - Акцент5 3" xfId="107"/>
    <cellStyle name="40% - Акцент6 2" xfId="108"/>
    <cellStyle name="40% - Акцент6 2 2" xfId="109"/>
    <cellStyle name="40% - Акцент6 2 3" xfId="110"/>
    <cellStyle name="40% - Акцент6 2 4" xfId="111"/>
    <cellStyle name="40% - Акцент6 3" xfId="112"/>
    <cellStyle name="60% - Акцент1 2" xfId="113"/>
    <cellStyle name="60% - Акцент1 2 2" xfId="114"/>
    <cellStyle name="60% - Акцент1 2 3" xfId="115"/>
    <cellStyle name="60% - Акцент1 2 4" xfId="116"/>
    <cellStyle name="60% - Акцент1 3" xfId="117"/>
    <cellStyle name="60% - Акцент2 2" xfId="118"/>
    <cellStyle name="60% - Акцент2 2 2" xfId="119"/>
    <cellStyle name="60% - Акцент2 2 3" xfId="120"/>
    <cellStyle name="60% - Акцент2 2 4" xfId="121"/>
    <cellStyle name="60% - Акцент2 3" xfId="122"/>
    <cellStyle name="60% - Акцент3 2" xfId="123"/>
    <cellStyle name="60% - Акцент3 2 2" xfId="124"/>
    <cellStyle name="60% - Акцент3 2 3" xfId="125"/>
    <cellStyle name="60% - Акцент3 2 4" xfId="126"/>
    <cellStyle name="60% - Акцент3 3" xfId="127"/>
    <cellStyle name="60% - Акцент4 2" xfId="128"/>
    <cellStyle name="60% - Акцент4 2 2" xfId="129"/>
    <cellStyle name="60% - Акцент4 2 3" xfId="130"/>
    <cellStyle name="60% - Акцент4 2 4" xfId="131"/>
    <cellStyle name="60% - Акцент4 3" xfId="132"/>
    <cellStyle name="60% - Акцент5 2" xfId="133"/>
    <cellStyle name="60% - Акцент5 2 2" xfId="134"/>
    <cellStyle name="60% - Акцент5 2 3" xfId="135"/>
    <cellStyle name="60% - Акцент5 2 4" xfId="136"/>
    <cellStyle name="60% - Акцент5 3" xfId="137"/>
    <cellStyle name="60% - Акцент6 2" xfId="138"/>
    <cellStyle name="60% - Акцент6 2 2" xfId="139"/>
    <cellStyle name="60% - Акцент6 2 3" xfId="140"/>
    <cellStyle name="60% - Акцент6 2 4" xfId="141"/>
    <cellStyle name="60% - Акцент6 3" xfId="142"/>
    <cellStyle name="Euro" xfId="143"/>
    <cellStyle name="Euro 2" xfId="144"/>
    <cellStyle name="Euro 3" xfId="145"/>
    <cellStyle name="Euro 4" xfId="146"/>
    <cellStyle name="Excel Built-in Normal" xfId="147"/>
    <cellStyle name="Normal 2" xfId="148"/>
    <cellStyle name="Normal_Sheet1" xfId="149"/>
    <cellStyle name="Standaard 10" xfId="150"/>
    <cellStyle name="Standaard 10 2" xfId="151"/>
    <cellStyle name="Standaard 10 3" xfId="152"/>
    <cellStyle name="Standaard 10 4" xfId="153"/>
    <cellStyle name="Standaard 11" xfId="154"/>
    <cellStyle name="Standaard 11 2" xfId="155"/>
    <cellStyle name="Standaard 11 3" xfId="156"/>
    <cellStyle name="Standaard 11 4" xfId="157"/>
    <cellStyle name="Standaard 12" xfId="158"/>
    <cellStyle name="Standaard 12 2" xfId="159"/>
    <cellStyle name="Standaard 12 3" xfId="160"/>
    <cellStyle name="Standaard 12 4" xfId="161"/>
    <cellStyle name="Standaard 2" xfId="162"/>
    <cellStyle name="Standaard 2 2" xfId="163"/>
    <cellStyle name="Standaard 2 3" xfId="164"/>
    <cellStyle name="Standaard 2 4" xfId="165"/>
    <cellStyle name="Standaard 3" xfId="166"/>
    <cellStyle name="Standaard 3 2" xfId="167"/>
    <cellStyle name="Standaard 3 3" xfId="168"/>
    <cellStyle name="Standaard 3 4" xfId="169"/>
    <cellStyle name="Standaard 4" xfId="170"/>
    <cellStyle name="Standaard 4 2" xfId="171"/>
    <cellStyle name="Standaard 4 3" xfId="172"/>
    <cellStyle name="Standaard 4 4" xfId="173"/>
    <cellStyle name="Standaard 5" xfId="174"/>
    <cellStyle name="Standaard 5 2" xfId="175"/>
    <cellStyle name="Standaard 5 3" xfId="176"/>
    <cellStyle name="Standaard 5 4" xfId="177"/>
    <cellStyle name="Standaard 6" xfId="178"/>
    <cellStyle name="Standaard 6 2" xfId="179"/>
    <cellStyle name="Standaard 6 3" xfId="180"/>
    <cellStyle name="Standaard 6 4" xfId="181"/>
    <cellStyle name="Standaard 7" xfId="182"/>
    <cellStyle name="Standaard 7 2" xfId="183"/>
    <cellStyle name="Standaard 7 3" xfId="184"/>
    <cellStyle name="Standaard 7 4" xfId="185"/>
    <cellStyle name="Standaard 8" xfId="186"/>
    <cellStyle name="Standaard 8 2" xfId="187"/>
    <cellStyle name="Standaard 8 3" xfId="188"/>
    <cellStyle name="Standaard 8 4" xfId="189"/>
    <cellStyle name="Standaard 9" xfId="190"/>
    <cellStyle name="Standaard 9 2" xfId="191"/>
    <cellStyle name="Standaard 9 3" xfId="192"/>
    <cellStyle name="Standaard 9 4" xfId="193"/>
    <cellStyle name="Акцент1 2" xfId="194"/>
    <cellStyle name="Акцент1 2 2" xfId="195"/>
    <cellStyle name="Акцент1 2 3" xfId="196"/>
    <cellStyle name="Акцент1 2 4" xfId="197"/>
    <cellStyle name="Акцент1 3" xfId="198"/>
    <cellStyle name="Акцент2 2" xfId="199"/>
    <cellStyle name="Акцент2 2 2" xfId="200"/>
    <cellStyle name="Акцент2 2 3" xfId="201"/>
    <cellStyle name="Акцент2 2 4" xfId="202"/>
    <cellStyle name="Акцент2 3" xfId="203"/>
    <cellStyle name="Акцент3 2" xfId="204"/>
    <cellStyle name="Акцент3 2 2" xfId="205"/>
    <cellStyle name="Акцент3 2 3" xfId="206"/>
    <cellStyle name="Акцент3 2 4" xfId="207"/>
    <cellStyle name="Акцент3 3" xfId="208"/>
    <cellStyle name="Акцент4 2" xfId="209"/>
    <cellStyle name="Акцент4 2 2" xfId="210"/>
    <cellStyle name="Акцент4 2 3" xfId="211"/>
    <cellStyle name="Акцент4 2 4" xfId="212"/>
    <cellStyle name="Акцент4 3" xfId="213"/>
    <cellStyle name="Акцент5 2" xfId="214"/>
    <cellStyle name="Акцент5 2 2" xfId="215"/>
    <cellStyle name="Акцент5 2 3" xfId="216"/>
    <cellStyle name="Акцент5 2 4" xfId="217"/>
    <cellStyle name="Акцент5 3" xfId="218"/>
    <cellStyle name="Акцент6 2" xfId="219"/>
    <cellStyle name="Акцент6 2 2" xfId="220"/>
    <cellStyle name="Акцент6 2 3" xfId="221"/>
    <cellStyle name="Акцент6 2 4" xfId="222"/>
    <cellStyle name="Акцент6 3" xfId="223"/>
    <cellStyle name="Ввод  2" xfId="224"/>
    <cellStyle name="Ввод  2 2" xfId="225"/>
    <cellStyle name="Ввод  2 3" xfId="226"/>
    <cellStyle name="Ввод  2 4" xfId="227"/>
    <cellStyle name="Ввод  3" xfId="228"/>
    <cellStyle name="Вывод 2" xfId="229"/>
    <cellStyle name="Вывод 2 2" xfId="230"/>
    <cellStyle name="Вывод 2 3" xfId="231"/>
    <cellStyle name="Вывод 2 4" xfId="232"/>
    <cellStyle name="Вывод 3" xfId="233"/>
    <cellStyle name="Вычисление 2" xfId="234"/>
    <cellStyle name="Вычисление 2 2" xfId="235"/>
    <cellStyle name="Вычисление 2 3" xfId="236"/>
    <cellStyle name="Вычисление 2 4" xfId="237"/>
    <cellStyle name="Вычисление 3" xfId="238"/>
    <cellStyle name="Гиперссылка" xfId="239" builtinId="8"/>
    <cellStyle name="Гиперссылка 2" xfId="240"/>
    <cellStyle name="Гиперссылка 3" xfId="241"/>
    <cellStyle name="Денежный 2" xfId="242"/>
    <cellStyle name="Заголовок 1 2" xfId="243"/>
    <cellStyle name="Заголовок 1 3" xfId="244"/>
    <cellStyle name="Заголовок 2 2" xfId="245"/>
    <cellStyle name="Заголовок 2 3" xfId="246"/>
    <cellStyle name="Заголовок 3 2" xfId="247"/>
    <cellStyle name="Заголовок 3 3" xfId="248"/>
    <cellStyle name="Заголовок 4 2" xfId="249"/>
    <cellStyle name="Заголовок 4 3" xfId="250"/>
    <cellStyle name="Заголовок сводной таблицы" xfId="251"/>
    <cellStyle name="Итог 2" xfId="252"/>
    <cellStyle name="Итог 3" xfId="253"/>
    <cellStyle name="Категория сводной таблицы" xfId="254"/>
    <cellStyle name="Контрольная ячейка 2" xfId="255"/>
    <cellStyle name="Контрольная ячейка 2 2" xfId="256"/>
    <cellStyle name="Контрольная ячейка 2 3" xfId="257"/>
    <cellStyle name="Контрольная ячейка 2 4" xfId="258"/>
    <cellStyle name="Контрольная ячейка 3" xfId="259"/>
    <cellStyle name="Название 2" xfId="260"/>
    <cellStyle name="Название 3" xfId="261"/>
    <cellStyle name="Нейтральный 2" xfId="262"/>
    <cellStyle name="Нейтральный 2 2" xfId="263"/>
    <cellStyle name="Нейтральный 2 3" xfId="264"/>
    <cellStyle name="Нейтральный 2 4" xfId="265"/>
    <cellStyle name="Нейтральный 3" xfId="266"/>
    <cellStyle name="Обычный" xfId="0" builtinId="0"/>
    <cellStyle name="Обычный 10" xfId="267"/>
    <cellStyle name="Обычный 10 2" xfId="268"/>
    <cellStyle name="Обычный 11" xfId="269"/>
    <cellStyle name="Обычный 11 2" xfId="270"/>
    <cellStyle name="Обычный 11 3" xfId="271"/>
    <cellStyle name="Обычный 12" xfId="272"/>
    <cellStyle name="Обычный 13" xfId="273"/>
    <cellStyle name="Обычный 14" xfId="274"/>
    <cellStyle name="Обычный 14 2" xfId="275"/>
    <cellStyle name="Обычный 15" xfId="276"/>
    <cellStyle name="Обычный 16" xfId="277"/>
    <cellStyle name="Обычный 17" xfId="278"/>
    <cellStyle name="Обычный 18" xfId="279"/>
    <cellStyle name="Обычный 19" xfId="280"/>
    <cellStyle name="Обычный 2" xfId="281"/>
    <cellStyle name="Обычный 2 2" xfId="282"/>
    <cellStyle name="Обычный 2 2 2" xfId="283"/>
    <cellStyle name="Обычный 2 3" xfId="284"/>
    <cellStyle name="Обычный 2 4" xfId="285"/>
    <cellStyle name="Обычный 2_Аквасток 1" xfId="286"/>
    <cellStyle name="Обычный 20" xfId="287"/>
    <cellStyle name="Обычный 21" xfId="288"/>
    <cellStyle name="Обычный 22" xfId="289"/>
    <cellStyle name="Обычный 23" xfId="290"/>
    <cellStyle name="Обычный 24" xfId="291"/>
    <cellStyle name="Обычный 25" xfId="292"/>
    <cellStyle name="Обычный 26" xfId="293"/>
    <cellStyle name="Обычный 3" xfId="294"/>
    <cellStyle name="Обычный 3 2" xfId="295"/>
    <cellStyle name="Обычный 30" xfId="296"/>
    <cellStyle name="Обычный 4" xfId="297"/>
    <cellStyle name="Обычный 4 2" xfId="298"/>
    <cellStyle name="Обычный 4 3" xfId="299"/>
    <cellStyle name="Обычный 4 4" xfId="300"/>
    <cellStyle name="Обычный 4_~2131575" xfId="301"/>
    <cellStyle name="Обычный 5" xfId="302"/>
    <cellStyle name="Обычный 6" xfId="303"/>
    <cellStyle name="Обычный 6 2" xfId="304"/>
    <cellStyle name="Обычный 6 3" xfId="305"/>
    <cellStyle name="Обычный 6 4" xfId="306"/>
    <cellStyle name="Обычный 6 5" xfId="307"/>
    <cellStyle name="Обычный 7" xfId="308"/>
    <cellStyle name="Обычный 7 2" xfId="309"/>
    <cellStyle name="Обычный 8" xfId="310"/>
    <cellStyle name="Обычный 8 2" xfId="311"/>
    <cellStyle name="Обычный 9" xfId="312"/>
    <cellStyle name="Обычный 9 10" xfId="313"/>
    <cellStyle name="Обычный 9 2" xfId="314"/>
    <cellStyle name="Обычный 9 3" xfId="315"/>
    <cellStyle name="Обычный 9 4" xfId="316"/>
    <cellStyle name="Обычный 9 5" xfId="317"/>
    <cellStyle name="Обычный 9 6" xfId="318"/>
    <cellStyle name="Обычный 9 7" xfId="319"/>
    <cellStyle name="Обычный 9 8" xfId="320"/>
    <cellStyle name="Обычный 9 9" xfId="321"/>
    <cellStyle name="Плохой 2" xfId="322"/>
    <cellStyle name="Плохой 2 2" xfId="323"/>
    <cellStyle name="Плохой 2 3" xfId="324"/>
    <cellStyle name="Плохой 2 4" xfId="325"/>
    <cellStyle name="Плохой 3" xfId="326"/>
    <cellStyle name="Пояснение 2" xfId="327"/>
    <cellStyle name="Пояснение 3" xfId="328"/>
    <cellStyle name="Примечание 2" xfId="329"/>
    <cellStyle name="Примечание 2 2" xfId="330"/>
    <cellStyle name="Примечание 2 3" xfId="331"/>
    <cellStyle name="Примечание 2 4" xfId="332"/>
    <cellStyle name="Примечание 3" xfId="333"/>
    <cellStyle name="Процентный 2" xfId="334"/>
    <cellStyle name="Процентный 2 2" xfId="335"/>
    <cellStyle name="Процентный 2 3" xfId="336"/>
    <cellStyle name="Процентный 2 4" xfId="337"/>
    <cellStyle name="Процентный 3" xfId="338"/>
    <cellStyle name="Процентный 3 2" xfId="339"/>
    <cellStyle name="Процентный 3 3" xfId="340"/>
    <cellStyle name="Процентный 3 4" xfId="341"/>
    <cellStyle name="Процентный 4" xfId="342"/>
    <cellStyle name="Процентный 4 2" xfId="343"/>
    <cellStyle name="Процентный 4 3" xfId="344"/>
    <cellStyle name="Процентный 5" xfId="345"/>
    <cellStyle name="Процентный 6" xfId="346"/>
    <cellStyle name="Связанная ячейка 2" xfId="347"/>
    <cellStyle name="Связанная ячейка 3" xfId="348"/>
    <cellStyle name="Стиль 1" xfId="349"/>
    <cellStyle name="Текст предупреждения 2" xfId="350"/>
    <cellStyle name="Текст предупреждения 3" xfId="351"/>
    <cellStyle name="Финансовый 2" xfId="352"/>
    <cellStyle name="Финансовый 2 2" xfId="353"/>
    <cellStyle name="Финансовый 2 2 2" xfId="354"/>
    <cellStyle name="Финансовый 2 2 2 2" xfId="355"/>
    <cellStyle name="Финансовый 2 2 2 2 2" xfId="356"/>
    <cellStyle name="Финансовый 2 2 2 2 2 2" xfId="357"/>
    <cellStyle name="Финансовый 2 3" xfId="358"/>
    <cellStyle name="Финансовый 2 4" xfId="359"/>
    <cellStyle name="Финансовый 3" xfId="360"/>
    <cellStyle name="Финансовый 3 2" xfId="361"/>
    <cellStyle name="Финансовый 3 3" xfId="362"/>
    <cellStyle name="Финансовый 3 4" xfId="363"/>
    <cellStyle name="Финансовый 4" xfId="364"/>
    <cellStyle name="Финансовый 4 2" xfId="365"/>
    <cellStyle name="Финансовый 4 3" xfId="366"/>
    <cellStyle name="Хороший 2" xfId="367"/>
    <cellStyle name="Хороший 2 2" xfId="368"/>
    <cellStyle name="Хороший 2 3" xfId="369"/>
    <cellStyle name="Хороший 2 4" xfId="370"/>
    <cellStyle name="Хороший 3" xfId="37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6.png"/><Relationship Id="rId13" Type="http://schemas.openxmlformats.org/officeDocument/2006/relationships/image" Target="../media/image111.png"/><Relationship Id="rId18" Type="http://schemas.openxmlformats.org/officeDocument/2006/relationships/image" Target="../media/image116.png"/><Relationship Id="rId3" Type="http://schemas.openxmlformats.org/officeDocument/2006/relationships/image" Target="../media/image102.png"/><Relationship Id="rId21" Type="http://schemas.openxmlformats.org/officeDocument/2006/relationships/image" Target="../media/image119.png"/><Relationship Id="rId7" Type="http://schemas.openxmlformats.org/officeDocument/2006/relationships/image" Target="../media/image105.png"/><Relationship Id="rId12" Type="http://schemas.openxmlformats.org/officeDocument/2006/relationships/image" Target="../media/image110.jpeg"/><Relationship Id="rId17" Type="http://schemas.openxmlformats.org/officeDocument/2006/relationships/image" Target="../media/image115.png"/><Relationship Id="rId2" Type="http://schemas.openxmlformats.org/officeDocument/2006/relationships/image" Target="../media/image101.png"/><Relationship Id="rId16" Type="http://schemas.openxmlformats.org/officeDocument/2006/relationships/image" Target="../media/image114.png"/><Relationship Id="rId20" Type="http://schemas.openxmlformats.org/officeDocument/2006/relationships/image" Target="../media/image118.png"/><Relationship Id="rId1" Type="http://schemas.openxmlformats.org/officeDocument/2006/relationships/image" Target="../media/image100.png"/><Relationship Id="rId6" Type="http://schemas.openxmlformats.org/officeDocument/2006/relationships/image" Target="../media/image104.png"/><Relationship Id="rId11" Type="http://schemas.openxmlformats.org/officeDocument/2006/relationships/image" Target="../media/image109.png"/><Relationship Id="rId5" Type="http://schemas.openxmlformats.org/officeDocument/2006/relationships/image" Target="../media/image72.png"/><Relationship Id="rId15" Type="http://schemas.openxmlformats.org/officeDocument/2006/relationships/image" Target="../media/image113.png"/><Relationship Id="rId10" Type="http://schemas.openxmlformats.org/officeDocument/2006/relationships/image" Target="../media/image108.png"/><Relationship Id="rId19" Type="http://schemas.openxmlformats.org/officeDocument/2006/relationships/image" Target="../media/image117.png"/><Relationship Id="rId4" Type="http://schemas.openxmlformats.org/officeDocument/2006/relationships/image" Target="../media/image103.png"/><Relationship Id="rId9" Type="http://schemas.openxmlformats.org/officeDocument/2006/relationships/image" Target="../media/image107.png"/><Relationship Id="rId14" Type="http://schemas.openxmlformats.org/officeDocument/2006/relationships/image" Target="../media/image112.png"/><Relationship Id="rId22" Type="http://schemas.openxmlformats.org/officeDocument/2006/relationships/image" Target="../media/image1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28.png"/><Relationship Id="rId13" Type="http://schemas.openxmlformats.org/officeDocument/2006/relationships/image" Target="../media/image133.png"/><Relationship Id="rId18" Type="http://schemas.openxmlformats.org/officeDocument/2006/relationships/image" Target="../media/image138.jpeg"/><Relationship Id="rId26" Type="http://schemas.openxmlformats.org/officeDocument/2006/relationships/image" Target="../media/image146.jpeg"/><Relationship Id="rId3" Type="http://schemas.openxmlformats.org/officeDocument/2006/relationships/image" Target="../media/image123.jpeg"/><Relationship Id="rId21" Type="http://schemas.openxmlformats.org/officeDocument/2006/relationships/image" Target="../media/image141.jpeg"/><Relationship Id="rId7" Type="http://schemas.openxmlformats.org/officeDocument/2006/relationships/image" Target="../media/image127.jpeg"/><Relationship Id="rId12" Type="http://schemas.openxmlformats.org/officeDocument/2006/relationships/image" Target="../media/image132.png"/><Relationship Id="rId17" Type="http://schemas.openxmlformats.org/officeDocument/2006/relationships/image" Target="../media/image137.jpeg"/><Relationship Id="rId25" Type="http://schemas.openxmlformats.org/officeDocument/2006/relationships/image" Target="../media/image145.jpeg"/><Relationship Id="rId2" Type="http://schemas.openxmlformats.org/officeDocument/2006/relationships/image" Target="../media/image122.jpeg"/><Relationship Id="rId16" Type="http://schemas.openxmlformats.org/officeDocument/2006/relationships/image" Target="../media/image136.jpeg"/><Relationship Id="rId20" Type="http://schemas.openxmlformats.org/officeDocument/2006/relationships/image" Target="../media/image140.jpeg"/><Relationship Id="rId1" Type="http://schemas.openxmlformats.org/officeDocument/2006/relationships/image" Target="../media/image121.jpeg"/><Relationship Id="rId6" Type="http://schemas.openxmlformats.org/officeDocument/2006/relationships/image" Target="../media/image126.jpeg"/><Relationship Id="rId11" Type="http://schemas.openxmlformats.org/officeDocument/2006/relationships/image" Target="../media/image131.png"/><Relationship Id="rId24" Type="http://schemas.openxmlformats.org/officeDocument/2006/relationships/image" Target="../media/image144.png"/><Relationship Id="rId5" Type="http://schemas.openxmlformats.org/officeDocument/2006/relationships/image" Target="../media/image125.jpeg"/><Relationship Id="rId15" Type="http://schemas.openxmlformats.org/officeDocument/2006/relationships/image" Target="../media/image135.jpeg"/><Relationship Id="rId23" Type="http://schemas.openxmlformats.org/officeDocument/2006/relationships/image" Target="../media/image143.png"/><Relationship Id="rId28" Type="http://schemas.openxmlformats.org/officeDocument/2006/relationships/image" Target="../media/image148.png"/><Relationship Id="rId10" Type="http://schemas.openxmlformats.org/officeDocument/2006/relationships/image" Target="../media/image130.png"/><Relationship Id="rId19" Type="http://schemas.openxmlformats.org/officeDocument/2006/relationships/image" Target="../media/image139.jpeg"/><Relationship Id="rId4" Type="http://schemas.openxmlformats.org/officeDocument/2006/relationships/image" Target="../media/image124.png"/><Relationship Id="rId9" Type="http://schemas.openxmlformats.org/officeDocument/2006/relationships/image" Target="../media/image129.png"/><Relationship Id="rId14" Type="http://schemas.openxmlformats.org/officeDocument/2006/relationships/image" Target="../media/image134.png"/><Relationship Id="rId22" Type="http://schemas.openxmlformats.org/officeDocument/2006/relationships/image" Target="../media/image142.jpeg"/><Relationship Id="rId27" Type="http://schemas.openxmlformats.org/officeDocument/2006/relationships/image" Target="../media/image14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jpeg"/><Relationship Id="rId26" Type="http://schemas.openxmlformats.org/officeDocument/2006/relationships/image" Target="../media/image36.png"/><Relationship Id="rId3" Type="http://schemas.openxmlformats.org/officeDocument/2006/relationships/image" Target="../media/image13.jpeg"/><Relationship Id="rId21" Type="http://schemas.openxmlformats.org/officeDocument/2006/relationships/image" Target="../media/image31.png"/><Relationship Id="rId34" Type="http://schemas.openxmlformats.org/officeDocument/2006/relationships/image" Target="../media/image44.png"/><Relationship Id="rId7" Type="http://schemas.openxmlformats.org/officeDocument/2006/relationships/image" Target="../media/image17.jpeg"/><Relationship Id="rId12" Type="http://schemas.openxmlformats.org/officeDocument/2006/relationships/image" Target="../media/image22.jpeg"/><Relationship Id="rId17" Type="http://schemas.openxmlformats.org/officeDocument/2006/relationships/image" Target="../media/image27.jpeg"/><Relationship Id="rId25" Type="http://schemas.openxmlformats.org/officeDocument/2006/relationships/image" Target="../media/image35.png"/><Relationship Id="rId33" Type="http://schemas.openxmlformats.org/officeDocument/2006/relationships/image" Target="../media/image43.jpeg"/><Relationship Id="rId2" Type="http://schemas.openxmlformats.org/officeDocument/2006/relationships/image" Target="../media/image12.jpeg"/><Relationship Id="rId16" Type="http://schemas.openxmlformats.org/officeDocument/2006/relationships/image" Target="../media/image26.png"/><Relationship Id="rId20" Type="http://schemas.openxmlformats.org/officeDocument/2006/relationships/image" Target="../media/image30.jpeg"/><Relationship Id="rId29" Type="http://schemas.openxmlformats.org/officeDocument/2006/relationships/image" Target="../media/image39.jpe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jpeg"/><Relationship Id="rId24" Type="http://schemas.openxmlformats.org/officeDocument/2006/relationships/image" Target="../media/image34.png"/><Relationship Id="rId32" Type="http://schemas.openxmlformats.org/officeDocument/2006/relationships/image" Target="../media/image42.png"/><Relationship Id="rId5" Type="http://schemas.openxmlformats.org/officeDocument/2006/relationships/image" Target="../media/image15.jpeg"/><Relationship Id="rId15" Type="http://schemas.openxmlformats.org/officeDocument/2006/relationships/image" Target="../media/image25.jpeg"/><Relationship Id="rId23" Type="http://schemas.openxmlformats.org/officeDocument/2006/relationships/image" Target="../media/image33.png"/><Relationship Id="rId28" Type="http://schemas.openxmlformats.org/officeDocument/2006/relationships/image" Target="../media/image38.jpeg"/><Relationship Id="rId10" Type="http://schemas.openxmlformats.org/officeDocument/2006/relationships/image" Target="../media/image20.jpeg"/><Relationship Id="rId19" Type="http://schemas.openxmlformats.org/officeDocument/2006/relationships/image" Target="../media/image29.png"/><Relationship Id="rId31" Type="http://schemas.openxmlformats.org/officeDocument/2006/relationships/image" Target="../media/image41.png"/><Relationship Id="rId4" Type="http://schemas.openxmlformats.org/officeDocument/2006/relationships/image" Target="../media/image14.jpeg"/><Relationship Id="rId9" Type="http://schemas.openxmlformats.org/officeDocument/2006/relationships/image" Target="../media/image19.jpe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jpeg"/><Relationship Id="rId30"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52.jpeg"/><Relationship Id="rId13" Type="http://schemas.openxmlformats.org/officeDocument/2006/relationships/image" Target="../media/image57.png"/><Relationship Id="rId3" Type="http://schemas.openxmlformats.org/officeDocument/2006/relationships/image" Target="../media/image47.jpeg"/><Relationship Id="rId7" Type="http://schemas.openxmlformats.org/officeDocument/2006/relationships/image" Target="../media/image51.jpeg"/><Relationship Id="rId12" Type="http://schemas.openxmlformats.org/officeDocument/2006/relationships/image" Target="../media/image56.png"/><Relationship Id="rId2" Type="http://schemas.openxmlformats.org/officeDocument/2006/relationships/image" Target="../media/image46.jpeg"/><Relationship Id="rId16" Type="http://schemas.openxmlformats.org/officeDocument/2006/relationships/image" Target="../media/image60.pn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jpeg"/><Relationship Id="rId5" Type="http://schemas.openxmlformats.org/officeDocument/2006/relationships/image" Target="../media/image49.png"/><Relationship Id="rId15" Type="http://schemas.openxmlformats.org/officeDocument/2006/relationships/image" Target="../media/image59.png"/><Relationship Id="rId10" Type="http://schemas.openxmlformats.org/officeDocument/2006/relationships/image" Target="../media/image54.jpeg"/><Relationship Id="rId4" Type="http://schemas.openxmlformats.org/officeDocument/2006/relationships/image" Target="../media/image48.png"/><Relationship Id="rId9" Type="http://schemas.openxmlformats.org/officeDocument/2006/relationships/image" Target="../media/image53.jpeg"/><Relationship Id="rId14" Type="http://schemas.openxmlformats.org/officeDocument/2006/relationships/image" Target="../media/image58.png"/></Relationships>
</file>

<file path=xl/drawings/_rels/drawing7.xml.rels><?xml version="1.0" encoding="UTF-8" standalone="yes"?>
<Relationships xmlns="http://schemas.openxmlformats.org/package/2006/relationships"><Relationship Id="rId8" Type="http://schemas.openxmlformats.org/officeDocument/2006/relationships/image" Target="../media/image68.png"/><Relationship Id="rId3" Type="http://schemas.openxmlformats.org/officeDocument/2006/relationships/image" Target="../media/image63.png"/><Relationship Id="rId7" Type="http://schemas.openxmlformats.org/officeDocument/2006/relationships/image" Target="../media/image67.jpeg"/><Relationship Id="rId2" Type="http://schemas.openxmlformats.org/officeDocument/2006/relationships/image" Target="../media/image62.jpeg"/><Relationship Id="rId1" Type="http://schemas.openxmlformats.org/officeDocument/2006/relationships/image" Target="../media/image61.jpe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jpeg"/><Relationship Id="rId9" Type="http://schemas.openxmlformats.org/officeDocument/2006/relationships/image" Target="../media/image69.png"/></Relationships>
</file>

<file path=xl/drawings/_rels/drawing8.xml.rels><?xml version="1.0" encoding="UTF-8" standalone="yes"?>
<Relationships xmlns="http://schemas.openxmlformats.org/package/2006/relationships"><Relationship Id="rId8" Type="http://schemas.openxmlformats.org/officeDocument/2006/relationships/image" Target="../media/image77.jpeg"/><Relationship Id="rId13" Type="http://schemas.openxmlformats.org/officeDocument/2006/relationships/image" Target="../media/image82.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17" Type="http://schemas.openxmlformats.org/officeDocument/2006/relationships/image" Target="../media/image86.png"/><Relationship Id="rId2" Type="http://schemas.openxmlformats.org/officeDocument/2006/relationships/image" Target="../media/image71.jpeg"/><Relationship Id="rId16" Type="http://schemas.openxmlformats.org/officeDocument/2006/relationships/image" Target="../media/image85.jpeg"/><Relationship Id="rId1" Type="http://schemas.openxmlformats.org/officeDocument/2006/relationships/image" Target="../media/image70.jpeg"/><Relationship Id="rId6" Type="http://schemas.openxmlformats.org/officeDocument/2006/relationships/image" Target="../media/image75.jpeg"/><Relationship Id="rId11" Type="http://schemas.openxmlformats.org/officeDocument/2006/relationships/image" Target="../media/image80.png"/><Relationship Id="rId5" Type="http://schemas.openxmlformats.org/officeDocument/2006/relationships/image" Target="../media/image74.jpeg"/><Relationship Id="rId15" Type="http://schemas.openxmlformats.org/officeDocument/2006/relationships/image" Target="../media/image84.png"/><Relationship Id="rId10" Type="http://schemas.openxmlformats.org/officeDocument/2006/relationships/image" Target="../media/image79.png"/><Relationship Id="rId4" Type="http://schemas.openxmlformats.org/officeDocument/2006/relationships/image" Target="../media/image73.jpeg"/><Relationship Id="rId9" Type="http://schemas.openxmlformats.org/officeDocument/2006/relationships/image" Target="../media/image78.jpeg"/><Relationship Id="rId14" Type="http://schemas.openxmlformats.org/officeDocument/2006/relationships/image" Target="../media/image83.png"/></Relationships>
</file>

<file path=xl/drawings/_rels/drawing9.xml.rels><?xml version="1.0" encoding="UTF-8" standalone="yes"?>
<Relationships xmlns="http://schemas.openxmlformats.org/package/2006/relationships"><Relationship Id="rId8" Type="http://schemas.openxmlformats.org/officeDocument/2006/relationships/image" Target="../media/image94.jpeg"/><Relationship Id="rId13" Type="http://schemas.openxmlformats.org/officeDocument/2006/relationships/image" Target="../media/image99.png"/><Relationship Id="rId3" Type="http://schemas.openxmlformats.org/officeDocument/2006/relationships/image" Target="../media/image89.jpeg"/><Relationship Id="rId7" Type="http://schemas.openxmlformats.org/officeDocument/2006/relationships/image" Target="../media/image93.png"/><Relationship Id="rId12" Type="http://schemas.openxmlformats.org/officeDocument/2006/relationships/image" Target="../media/image98.png"/><Relationship Id="rId2" Type="http://schemas.openxmlformats.org/officeDocument/2006/relationships/image" Target="../media/image88.jpeg"/><Relationship Id="rId1" Type="http://schemas.openxmlformats.org/officeDocument/2006/relationships/image" Target="../media/image87.jpeg"/><Relationship Id="rId6" Type="http://schemas.openxmlformats.org/officeDocument/2006/relationships/image" Target="../media/image92.jpeg"/><Relationship Id="rId11" Type="http://schemas.openxmlformats.org/officeDocument/2006/relationships/image" Target="../media/image97.png"/><Relationship Id="rId5" Type="http://schemas.openxmlformats.org/officeDocument/2006/relationships/image" Target="../media/image91.jpeg"/><Relationship Id="rId10" Type="http://schemas.openxmlformats.org/officeDocument/2006/relationships/image" Target="../media/image96.jpeg"/><Relationship Id="rId4" Type="http://schemas.openxmlformats.org/officeDocument/2006/relationships/image" Target="../media/image90.jpeg"/><Relationship Id="rId9" Type="http://schemas.openxmlformats.org/officeDocument/2006/relationships/image" Target="../media/image9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xdr:row>
      <xdr:rowOff>0</xdr:rowOff>
    </xdr:from>
    <xdr:to>
      <xdr:col>3</xdr:col>
      <xdr:colOff>238125</xdr:colOff>
      <xdr:row>1</xdr:row>
      <xdr:rowOff>542925</xdr:rowOff>
    </xdr:to>
    <xdr:pic>
      <xdr:nvPicPr>
        <xdr:cNvPr id="2712368" name="Рисунок 3" descr="0db6de360188de2c16752200f147ebd5.png"/>
        <xdr:cNvPicPr>
          <a:picLocks noChangeAspect="1"/>
        </xdr:cNvPicPr>
      </xdr:nvPicPr>
      <xdr:blipFill>
        <a:blip xmlns:r="http://schemas.openxmlformats.org/officeDocument/2006/relationships" r:embed="rId1"/>
        <a:srcRect/>
        <a:stretch>
          <a:fillRect/>
        </a:stretch>
      </xdr:blipFill>
      <xdr:spPr bwMode="auto">
        <a:xfrm>
          <a:off x="2971800" y="161925"/>
          <a:ext cx="2257425" cy="5429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190500</xdr:colOff>
      <xdr:row>23</xdr:row>
      <xdr:rowOff>2931</xdr:rowOff>
    </xdr:from>
    <xdr:to>
      <xdr:col>16</xdr:col>
      <xdr:colOff>359019</xdr:colOff>
      <xdr:row>23</xdr:row>
      <xdr:rowOff>3254</xdr:rowOff>
    </xdr:to>
    <xdr:sp macro="" textlink="">
      <xdr:nvSpPr>
        <xdr:cNvPr id="2" name="PIJL-LINKS en -RECHTS 912">
          <a:extLst>
            <a:ext uri="{FF2B5EF4-FFF2-40B4-BE49-F238E27FC236}"/>
          </a:extLst>
        </xdr:cNvPr>
        <xdr:cNvSpPr/>
      </xdr:nvSpPr>
      <xdr:spPr>
        <a:xfrm>
          <a:off x="11163300" y="589890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23</xdr:row>
      <xdr:rowOff>2931</xdr:rowOff>
    </xdr:from>
    <xdr:to>
      <xdr:col>16</xdr:col>
      <xdr:colOff>359019</xdr:colOff>
      <xdr:row>23</xdr:row>
      <xdr:rowOff>3254</xdr:rowOff>
    </xdr:to>
    <xdr:sp macro="" textlink="">
      <xdr:nvSpPr>
        <xdr:cNvPr id="3" name="PIJL-LINKS en -RECHTS 918">
          <a:extLst>
            <a:ext uri="{FF2B5EF4-FFF2-40B4-BE49-F238E27FC236}"/>
          </a:extLst>
        </xdr:cNvPr>
        <xdr:cNvSpPr/>
      </xdr:nvSpPr>
      <xdr:spPr>
        <a:xfrm>
          <a:off x="11163300" y="589890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17</xdr:col>
      <xdr:colOff>57150</xdr:colOff>
      <xdr:row>22</xdr:row>
      <xdr:rowOff>0</xdr:rowOff>
    </xdr:from>
    <xdr:to>
      <xdr:col>17</xdr:col>
      <xdr:colOff>266700</xdr:colOff>
      <xdr:row>22</xdr:row>
      <xdr:rowOff>0</xdr:rowOff>
    </xdr:to>
    <xdr:sp macro="" textlink="">
      <xdr:nvSpPr>
        <xdr:cNvPr id="3280688" name="PIJL-OMLAAG 931"/>
        <xdr:cNvSpPr>
          <a:spLocks noChangeArrowheads="1"/>
        </xdr:cNvSpPr>
      </xdr:nvSpPr>
      <xdr:spPr bwMode="auto">
        <a:xfrm>
          <a:off x="11630025" y="5562600"/>
          <a:ext cx="209550" cy="0"/>
        </a:xfrm>
        <a:prstGeom prst="downArrow">
          <a:avLst>
            <a:gd name="adj1" fmla="val 50000"/>
            <a:gd name="adj2" fmla="val -2147483648"/>
          </a:avLst>
        </a:prstGeom>
        <a:solidFill>
          <a:srgbClr val="000000"/>
        </a:solidFill>
        <a:ln w="25400" algn="ctr">
          <a:noFill/>
          <a:miter lim="800000"/>
          <a:headEnd/>
          <a:tailEnd/>
        </a:ln>
      </xdr:spPr>
    </xdr:sp>
    <xdr:clientData/>
  </xdr:twoCellAnchor>
  <xdr:twoCellAnchor>
    <xdr:from>
      <xdr:col>18</xdr:col>
      <xdr:colOff>47625</xdr:colOff>
      <xdr:row>21</xdr:row>
      <xdr:rowOff>57150</xdr:rowOff>
    </xdr:from>
    <xdr:to>
      <xdr:col>18</xdr:col>
      <xdr:colOff>285750</xdr:colOff>
      <xdr:row>21</xdr:row>
      <xdr:rowOff>666750</xdr:rowOff>
    </xdr:to>
    <xdr:sp macro="" textlink="">
      <xdr:nvSpPr>
        <xdr:cNvPr id="3280689" name="PIJL-LINKS en -RECHTS 932"/>
        <xdr:cNvSpPr>
          <a:spLocks noChangeArrowheads="1"/>
        </xdr:cNvSpPr>
      </xdr:nvSpPr>
      <xdr:spPr bwMode="auto">
        <a:xfrm rot="-5400000">
          <a:off x="12192000" y="5305425"/>
          <a:ext cx="276225" cy="238125"/>
        </a:xfrm>
        <a:prstGeom prst="leftRightArrow">
          <a:avLst>
            <a:gd name="adj1" fmla="val 50000"/>
            <a:gd name="adj2" fmla="val 23001"/>
          </a:avLst>
        </a:prstGeom>
        <a:solidFill>
          <a:srgbClr val="000000"/>
        </a:solidFill>
        <a:ln w="25400" algn="ctr">
          <a:noFill/>
          <a:miter lim="800000"/>
          <a:headEnd/>
          <a:tailEnd/>
        </a:ln>
      </xdr:spPr>
    </xdr:sp>
    <xdr:clientData/>
  </xdr:twoCellAnchor>
  <xdr:twoCellAnchor>
    <xdr:from>
      <xdr:col>18</xdr:col>
      <xdr:colOff>47625</xdr:colOff>
      <xdr:row>23</xdr:row>
      <xdr:rowOff>0</xdr:rowOff>
    </xdr:from>
    <xdr:to>
      <xdr:col>18</xdr:col>
      <xdr:colOff>285750</xdr:colOff>
      <xdr:row>23</xdr:row>
      <xdr:rowOff>0</xdr:rowOff>
    </xdr:to>
    <xdr:sp macro="" textlink="">
      <xdr:nvSpPr>
        <xdr:cNvPr id="3280690" name="PIJL-LINKS en -RECHTS 933"/>
        <xdr:cNvSpPr>
          <a:spLocks noChangeArrowheads="1"/>
        </xdr:cNvSpPr>
      </xdr:nvSpPr>
      <xdr:spPr bwMode="auto">
        <a:xfrm rot="-5400000">
          <a:off x="12330113" y="5776912"/>
          <a:ext cx="0" cy="238125"/>
        </a:xfrm>
        <a:prstGeom prst="leftRightArrow">
          <a:avLst>
            <a:gd name="adj1" fmla="val 50000"/>
            <a:gd name="adj2" fmla="val -2147483648"/>
          </a:avLst>
        </a:prstGeom>
        <a:solidFill>
          <a:srgbClr val="000000"/>
        </a:solidFill>
        <a:ln w="25400" algn="ctr">
          <a:noFill/>
          <a:miter lim="800000"/>
          <a:headEnd/>
          <a:tailEnd/>
        </a:ln>
      </xdr:spPr>
    </xdr:sp>
    <xdr:clientData/>
  </xdr:twoCellAnchor>
  <xdr:twoCellAnchor>
    <xdr:from>
      <xdr:col>16</xdr:col>
      <xdr:colOff>190500</xdr:colOff>
      <xdr:row>23</xdr:row>
      <xdr:rowOff>2931</xdr:rowOff>
    </xdr:from>
    <xdr:to>
      <xdr:col>16</xdr:col>
      <xdr:colOff>359019</xdr:colOff>
      <xdr:row>23</xdr:row>
      <xdr:rowOff>3254</xdr:rowOff>
    </xdr:to>
    <xdr:sp macro="" textlink="">
      <xdr:nvSpPr>
        <xdr:cNvPr id="7" name="PIJL-LINKS en -RECHTS 934">
          <a:extLst>
            <a:ext uri="{FF2B5EF4-FFF2-40B4-BE49-F238E27FC236}"/>
          </a:extLst>
        </xdr:cNvPr>
        <xdr:cNvSpPr/>
      </xdr:nvSpPr>
      <xdr:spPr>
        <a:xfrm>
          <a:off x="11163300" y="589890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18</xdr:col>
      <xdr:colOff>9525</xdr:colOff>
      <xdr:row>25</xdr:row>
      <xdr:rowOff>57150</xdr:rowOff>
    </xdr:from>
    <xdr:to>
      <xdr:col>18</xdr:col>
      <xdr:colOff>190500</xdr:colOff>
      <xdr:row>25</xdr:row>
      <xdr:rowOff>523875</xdr:rowOff>
    </xdr:to>
    <xdr:sp macro="" textlink="">
      <xdr:nvSpPr>
        <xdr:cNvPr id="3280692" name="PIJL-LINKS en -RECHTS 1006"/>
        <xdr:cNvSpPr>
          <a:spLocks noChangeArrowheads="1"/>
        </xdr:cNvSpPr>
      </xdr:nvSpPr>
      <xdr:spPr bwMode="auto">
        <a:xfrm rot="-5400000">
          <a:off x="12030075" y="6838950"/>
          <a:ext cx="466725" cy="180975"/>
        </a:xfrm>
        <a:prstGeom prst="leftRightArrow">
          <a:avLst>
            <a:gd name="adj1" fmla="val 50000"/>
            <a:gd name="adj2" fmla="val 92006"/>
          </a:avLst>
        </a:prstGeom>
        <a:solidFill>
          <a:srgbClr val="000000"/>
        </a:solidFill>
        <a:ln w="25400" algn="ctr">
          <a:noFill/>
          <a:miter lim="800000"/>
          <a:headEnd/>
          <a:tailEnd/>
        </a:ln>
      </xdr:spPr>
    </xdr:sp>
    <xdr:clientData/>
  </xdr:twoCellAnchor>
  <xdr:twoCellAnchor>
    <xdr:from>
      <xdr:col>18</xdr:col>
      <xdr:colOff>66675</xdr:colOff>
      <xdr:row>27</xdr:row>
      <xdr:rowOff>0</xdr:rowOff>
    </xdr:from>
    <xdr:to>
      <xdr:col>18</xdr:col>
      <xdr:colOff>247650</xdr:colOff>
      <xdr:row>27</xdr:row>
      <xdr:rowOff>0</xdr:rowOff>
    </xdr:to>
    <xdr:sp macro="" textlink="">
      <xdr:nvSpPr>
        <xdr:cNvPr id="3280693" name="PIJL-LINKS en -RECHTS 1007"/>
        <xdr:cNvSpPr>
          <a:spLocks noChangeArrowheads="1"/>
        </xdr:cNvSpPr>
      </xdr:nvSpPr>
      <xdr:spPr bwMode="auto">
        <a:xfrm rot="-5400000">
          <a:off x="12320588" y="7634287"/>
          <a:ext cx="0" cy="180975"/>
        </a:xfrm>
        <a:prstGeom prst="leftRightArrow">
          <a:avLst>
            <a:gd name="adj1" fmla="val 50000"/>
            <a:gd name="adj2" fmla="val -2147483648"/>
          </a:avLst>
        </a:prstGeom>
        <a:solidFill>
          <a:srgbClr val="000000"/>
        </a:solidFill>
        <a:ln w="25400" algn="ctr">
          <a:noFill/>
          <a:miter lim="800000"/>
          <a:headEnd/>
          <a:tailEnd/>
        </a:ln>
      </xdr:spPr>
    </xdr:sp>
    <xdr:clientData/>
  </xdr:twoCellAnchor>
  <xdr:twoCellAnchor>
    <xdr:from>
      <xdr:col>16</xdr:col>
      <xdr:colOff>190500</xdr:colOff>
      <xdr:row>35</xdr:row>
      <xdr:rowOff>2931</xdr:rowOff>
    </xdr:from>
    <xdr:to>
      <xdr:col>16</xdr:col>
      <xdr:colOff>359019</xdr:colOff>
      <xdr:row>35</xdr:row>
      <xdr:rowOff>3254</xdr:rowOff>
    </xdr:to>
    <xdr:sp macro="" textlink="">
      <xdr:nvSpPr>
        <xdr:cNvPr id="10" name="PIJL-LINKS en -RECHTS 815">
          <a:extLst>
            <a:ext uri="{FF2B5EF4-FFF2-40B4-BE49-F238E27FC236}"/>
          </a:extLst>
        </xdr:cNvPr>
        <xdr:cNvSpPr/>
      </xdr:nvSpPr>
      <xdr:spPr>
        <a:xfrm>
          <a:off x="11163300" y="97755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35</xdr:row>
      <xdr:rowOff>2931</xdr:rowOff>
    </xdr:from>
    <xdr:to>
      <xdr:col>16</xdr:col>
      <xdr:colOff>359019</xdr:colOff>
      <xdr:row>35</xdr:row>
      <xdr:rowOff>3254</xdr:rowOff>
    </xdr:to>
    <xdr:sp macro="" textlink="">
      <xdr:nvSpPr>
        <xdr:cNvPr id="11" name="PIJL-LINKS en -RECHTS 816">
          <a:extLst>
            <a:ext uri="{FF2B5EF4-FFF2-40B4-BE49-F238E27FC236}"/>
          </a:extLst>
        </xdr:cNvPr>
        <xdr:cNvSpPr/>
      </xdr:nvSpPr>
      <xdr:spPr>
        <a:xfrm>
          <a:off x="11163300" y="97755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35</xdr:row>
      <xdr:rowOff>2931</xdr:rowOff>
    </xdr:from>
    <xdr:to>
      <xdr:col>16</xdr:col>
      <xdr:colOff>359019</xdr:colOff>
      <xdr:row>35</xdr:row>
      <xdr:rowOff>3254</xdr:rowOff>
    </xdr:to>
    <xdr:sp macro="" textlink="">
      <xdr:nvSpPr>
        <xdr:cNvPr id="12" name="PIJL-LINKS en -RECHTS 817">
          <a:extLst>
            <a:ext uri="{FF2B5EF4-FFF2-40B4-BE49-F238E27FC236}"/>
          </a:extLst>
        </xdr:cNvPr>
        <xdr:cNvSpPr/>
      </xdr:nvSpPr>
      <xdr:spPr>
        <a:xfrm>
          <a:off x="11163300" y="97755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editAs="oneCell">
    <xdr:from>
      <xdr:col>1</xdr:col>
      <xdr:colOff>123825</xdr:colOff>
      <xdr:row>7</xdr:row>
      <xdr:rowOff>238125</xdr:rowOff>
    </xdr:from>
    <xdr:to>
      <xdr:col>1</xdr:col>
      <xdr:colOff>1133475</xdr:colOff>
      <xdr:row>10</xdr:row>
      <xdr:rowOff>142875</xdr:rowOff>
    </xdr:to>
    <xdr:pic>
      <xdr:nvPicPr>
        <xdr:cNvPr id="3280697" name="Afbeelding 948" descr="LAKQ U2.png"/>
        <xdr:cNvPicPr>
          <a:picLocks noChangeAspect="1"/>
        </xdr:cNvPicPr>
      </xdr:nvPicPr>
      <xdr:blipFill>
        <a:blip xmlns:r="http://schemas.openxmlformats.org/officeDocument/2006/relationships" r:embed="rId1"/>
        <a:srcRect/>
        <a:stretch>
          <a:fillRect/>
        </a:stretch>
      </xdr:blipFill>
      <xdr:spPr bwMode="auto">
        <a:xfrm>
          <a:off x="1228725" y="1809750"/>
          <a:ext cx="1009650" cy="676275"/>
        </a:xfrm>
        <a:prstGeom prst="rect">
          <a:avLst/>
        </a:prstGeom>
        <a:noFill/>
        <a:ln w="9525">
          <a:noFill/>
          <a:miter lim="800000"/>
          <a:headEnd/>
          <a:tailEnd/>
        </a:ln>
      </xdr:spPr>
    </xdr:pic>
    <xdr:clientData/>
  </xdr:twoCellAnchor>
  <xdr:twoCellAnchor editAs="oneCell">
    <xdr:from>
      <xdr:col>1</xdr:col>
      <xdr:colOff>361950</xdr:colOff>
      <xdr:row>12</xdr:row>
      <xdr:rowOff>114300</xdr:rowOff>
    </xdr:from>
    <xdr:to>
      <xdr:col>1</xdr:col>
      <xdr:colOff>914400</xdr:colOff>
      <xdr:row>16</xdr:row>
      <xdr:rowOff>76200</xdr:rowOff>
    </xdr:to>
    <xdr:pic>
      <xdr:nvPicPr>
        <xdr:cNvPr id="3280698" name="Afbeelding 1025" descr="LEKQ U4.png"/>
        <xdr:cNvPicPr>
          <a:picLocks noChangeAspect="1"/>
        </xdr:cNvPicPr>
      </xdr:nvPicPr>
      <xdr:blipFill>
        <a:blip xmlns:r="http://schemas.openxmlformats.org/officeDocument/2006/relationships" r:embed="rId2"/>
        <a:srcRect/>
        <a:stretch>
          <a:fillRect/>
        </a:stretch>
      </xdr:blipFill>
      <xdr:spPr bwMode="auto">
        <a:xfrm>
          <a:off x="1466850" y="3000375"/>
          <a:ext cx="552450" cy="800100"/>
        </a:xfrm>
        <a:prstGeom prst="rect">
          <a:avLst/>
        </a:prstGeom>
        <a:noFill/>
        <a:ln w="9525">
          <a:noFill/>
          <a:miter lim="800000"/>
          <a:headEnd/>
          <a:tailEnd/>
        </a:ln>
      </xdr:spPr>
    </xdr:pic>
    <xdr:clientData/>
  </xdr:twoCellAnchor>
  <xdr:twoCellAnchor editAs="oneCell">
    <xdr:from>
      <xdr:col>1</xdr:col>
      <xdr:colOff>228600</xdr:colOff>
      <xdr:row>18</xdr:row>
      <xdr:rowOff>28575</xdr:rowOff>
    </xdr:from>
    <xdr:to>
      <xdr:col>1</xdr:col>
      <xdr:colOff>981075</xdr:colOff>
      <xdr:row>20</xdr:row>
      <xdr:rowOff>190500</xdr:rowOff>
    </xdr:to>
    <xdr:pic>
      <xdr:nvPicPr>
        <xdr:cNvPr id="3280699" name="Afbeelding 1029" descr="LAKZ P1.png"/>
        <xdr:cNvPicPr>
          <a:picLocks noChangeAspect="1"/>
        </xdr:cNvPicPr>
      </xdr:nvPicPr>
      <xdr:blipFill>
        <a:blip xmlns:r="http://schemas.openxmlformats.org/officeDocument/2006/relationships" r:embed="rId3"/>
        <a:srcRect/>
        <a:stretch>
          <a:fillRect/>
        </a:stretch>
      </xdr:blipFill>
      <xdr:spPr bwMode="auto">
        <a:xfrm>
          <a:off x="1333500" y="4410075"/>
          <a:ext cx="752475" cy="742950"/>
        </a:xfrm>
        <a:prstGeom prst="rect">
          <a:avLst/>
        </a:prstGeom>
        <a:noFill/>
        <a:ln w="9525">
          <a:noFill/>
          <a:miter lim="800000"/>
          <a:headEnd/>
          <a:tailEnd/>
        </a:ln>
      </xdr:spPr>
    </xdr:pic>
    <xdr:clientData/>
  </xdr:twoCellAnchor>
  <xdr:twoCellAnchor editAs="oneCell">
    <xdr:from>
      <xdr:col>1</xdr:col>
      <xdr:colOff>142875</xdr:colOff>
      <xdr:row>23</xdr:row>
      <xdr:rowOff>152400</xdr:rowOff>
    </xdr:from>
    <xdr:to>
      <xdr:col>1</xdr:col>
      <xdr:colOff>419100</xdr:colOff>
      <xdr:row>25</xdr:row>
      <xdr:rowOff>209550</xdr:rowOff>
    </xdr:to>
    <xdr:pic>
      <xdr:nvPicPr>
        <xdr:cNvPr id="3280700" name="Afbeelding 1042" descr="HYBRID 6060.png"/>
        <xdr:cNvPicPr>
          <a:picLocks noChangeAspect="1"/>
        </xdr:cNvPicPr>
      </xdr:nvPicPr>
      <xdr:blipFill>
        <a:blip xmlns:r="http://schemas.openxmlformats.org/officeDocument/2006/relationships" r:embed="rId4"/>
        <a:srcRect/>
        <a:stretch>
          <a:fillRect/>
        </a:stretch>
      </xdr:blipFill>
      <xdr:spPr bwMode="auto">
        <a:xfrm>
          <a:off x="1247775" y="6048375"/>
          <a:ext cx="276225" cy="800100"/>
        </a:xfrm>
        <a:prstGeom prst="rect">
          <a:avLst/>
        </a:prstGeom>
        <a:noFill/>
        <a:ln w="9525">
          <a:noFill/>
          <a:miter lim="800000"/>
          <a:headEnd/>
          <a:tailEnd/>
        </a:ln>
      </xdr:spPr>
    </xdr:pic>
    <xdr:clientData/>
  </xdr:twoCellAnchor>
  <xdr:twoCellAnchor editAs="oneCell">
    <xdr:from>
      <xdr:col>1</xdr:col>
      <xdr:colOff>285750</xdr:colOff>
      <xdr:row>33</xdr:row>
      <xdr:rowOff>314325</xdr:rowOff>
    </xdr:from>
    <xdr:to>
      <xdr:col>1</xdr:col>
      <xdr:colOff>876300</xdr:colOff>
      <xdr:row>37</xdr:row>
      <xdr:rowOff>247650</xdr:rowOff>
    </xdr:to>
    <xdr:pic>
      <xdr:nvPicPr>
        <xdr:cNvPr id="3280701" name="Afbeelding 1088" descr="LSKZ U2.png"/>
        <xdr:cNvPicPr>
          <a:picLocks noChangeAspect="1"/>
        </xdr:cNvPicPr>
      </xdr:nvPicPr>
      <xdr:blipFill>
        <a:blip xmlns:r="http://schemas.openxmlformats.org/officeDocument/2006/relationships" r:embed="rId5"/>
        <a:srcRect/>
        <a:stretch>
          <a:fillRect/>
        </a:stretch>
      </xdr:blipFill>
      <xdr:spPr bwMode="auto">
        <a:xfrm>
          <a:off x="1390650" y="9448800"/>
          <a:ext cx="590550" cy="895350"/>
        </a:xfrm>
        <a:prstGeom prst="rect">
          <a:avLst/>
        </a:prstGeom>
        <a:noFill/>
        <a:ln w="9525">
          <a:noFill/>
          <a:miter lim="800000"/>
          <a:headEnd/>
          <a:tailEnd/>
        </a:ln>
      </xdr:spPr>
    </xdr:pic>
    <xdr:clientData/>
  </xdr:twoCellAnchor>
  <xdr:twoCellAnchor>
    <xdr:from>
      <xdr:col>17</xdr:col>
      <xdr:colOff>76200</xdr:colOff>
      <xdr:row>21</xdr:row>
      <xdr:rowOff>38100</xdr:rowOff>
    </xdr:from>
    <xdr:to>
      <xdr:col>17</xdr:col>
      <xdr:colOff>285750</xdr:colOff>
      <xdr:row>21</xdr:row>
      <xdr:rowOff>647700</xdr:rowOff>
    </xdr:to>
    <xdr:sp macro="" textlink="">
      <xdr:nvSpPr>
        <xdr:cNvPr id="3280702" name="PIJL-OMLAAG 931"/>
        <xdr:cNvSpPr>
          <a:spLocks noChangeArrowheads="1"/>
        </xdr:cNvSpPr>
      </xdr:nvSpPr>
      <xdr:spPr bwMode="auto">
        <a:xfrm>
          <a:off x="11649075" y="5267325"/>
          <a:ext cx="209550" cy="295275"/>
        </a:xfrm>
        <a:prstGeom prst="downArrow">
          <a:avLst>
            <a:gd name="adj1" fmla="val 50000"/>
            <a:gd name="adj2" fmla="val 32109"/>
          </a:avLst>
        </a:prstGeom>
        <a:solidFill>
          <a:srgbClr val="000000"/>
        </a:solidFill>
        <a:ln w="25400" algn="ctr">
          <a:noFill/>
          <a:miter lim="800000"/>
          <a:headEnd/>
          <a:tailEnd/>
        </a:ln>
      </xdr:spPr>
    </xdr:sp>
    <xdr:clientData/>
  </xdr:twoCellAnchor>
  <xdr:twoCellAnchor editAs="oneCell">
    <xdr:from>
      <xdr:col>1</xdr:col>
      <xdr:colOff>609600</xdr:colOff>
      <xdr:row>23</xdr:row>
      <xdr:rowOff>152400</xdr:rowOff>
    </xdr:from>
    <xdr:to>
      <xdr:col>1</xdr:col>
      <xdr:colOff>1143000</xdr:colOff>
      <xdr:row>25</xdr:row>
      <xdr:rowOff>285750</xdr:rowOff>
    </xdr:to>
    <xdr:pic>
      <xdr:nvPicPr>
        <xdr:cNvPr id="3280703" name="Afbeelding 1082" descr="SHKM.png"/>
        <xdr:cNvPicPr>
          <a:picLocks noChangeAspect="1"/>
        </xdr:cNvPicPr>
      </xdr:nvPicPr>
      <xdr:blipFill>
        <a:blip xmlns:r="http://schemas.openxmlformats.org/officeDocument/2006/relationships" r:embed="rId6"/>
        <a:srcRect/>
        <a:stretch>
          <a:fillRect/>
        </a:stretch>
      </xdr:blipFill>
      <xdr:spPr bwMode="auto">
        <a:xfrm>
          <a:off x="1714500" y="6048375"/>
          <a:ext cx="533400" cy="876300"/>
        </a:xfrm>
        <a:prstGeom prst="rect">
          <a:avLst/>
        </a:prstGeom>
        <a:noFill/>
        <a:ln w="9525">
          <a:noFill/>
          <a:miter lim="800000"/>
          <a:headEnd/>
          <a:tailEnd/>
        </a:ln>
      </xdr:spPr>
    </xdr:pic>
    <xdr:clientData/>
  </xdr:twoCellAnchor>
  <xdr:twoCellAnchor>
    <xdr:from>
      <xdr:col>3</xdr:col>
      <xdr:colOff>0</xdr:colOff>
      <xdr:row>28</xdr:row>
      <xdr:rowOff>190500</xdr:rowOff>
    </xdr:from>
    <xdr:to>
      <xdr:col>3</xdr:col>
      <xdr:colOff>0</xdr:colOff>
      <xdr:row>28</xdr:row>
      <xdr:rowOff>781050</xdr:rowOff>
    </xdr:to>
    <xdr:sp macro="" textlink="">
      <xdr:nvSpPr>
        <xdr:cNvPr id="3280704" name="Text Box 81"/>
        <xdr:cNvSpPr txBox="1">
          <a:spLocks noChangeArrowheads="1"/>
        </xdr:cNvSpPr>
      </xdr:nvSpPr>
      <xdr:spPr bwMode="auto">
        <a:xfrm>
          <a:off x="3524250" y="8296275"/>
          <a:ext cx="0" cy="19050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1847850</xdr:colOff>
      <xdr:row>28</xdr:row>
      <xdr:rowOff>57150</xdr:rowOff>
    </xdr:from>
    <xdr:to>
      <xdr:col>2</xdr:col>
      <xdr:colOff>9525</xdr:colOff>
      <xdr:row>31</xdr:row>
      <xdr:rowOff>114300</xdr:rowOff>
    </xdr:to>
    <xdr:pic>
      <xdr:nvPicPr>
        <xdr:cNvPr id="3280705" name="Рисунок 23"/>
        <xdr:cNvPicPr>
          <a:picLocks noChangeAspect="1"/>
        </xdr:cNvPicPr>
      </xdr:nvPicPr>
      <xdr:blipFill>
        <a:blip xmlns:r="http://schemas.openxmlformats.org/officeDocument/2006/relationships" r:embed="rId7" cstate="print"/>
        <a:srcRect/>
        <a:stretch>
          <a:fillRect/>
        </a:stretch>
      </xdr:blipFill>
      <xdr:spPr bwMode="auto">
        <a:xfrm>
          <a:off x="2324100" y="8162925"/>
          <a:ext cx="9525" cy="762000"/>
        </a:xfrm>
        <a:prstGeom prst="rect">
          <a:avLst/>
        </a:prstGeom>
        <a:noFill/>
        <a:ln w="9525">
          <a:noFill/>
          <a:miter lim="800000"/>
          <a:headEnd/>
          <a:tailEnd/>
        </a:ln>
      </xdr:spPr>
    </xdr:pic>
    <xdr:clientData/>
  </xdr:twoCellAnchor>
  <xdr:twoCellAnchor editAs="oneCell">
    <xdr:from>
      <xdr:col>1</xdr:col>
      <xdr:colOff>104775</xdr:colOff>
      <xdr:row>28</xdr:row>
      <xdr:rowOff>47625</xdr:rowOff>
    </xdr:from>
    <xdr:to>
      <xdr:col>1</xdr:col>
      <xdr:colOff>1057275</xdr:colOff>
      <xdr:row>32</xdr:row>
      <xdr:rowOff>133350</xdr:rowOff>
    </xdr:to>
    <xdr:pic>
      <xdr:nvPicPr>
        <xdr:cNvPr id="3280706" name="Picture 624"/>
        <xdr:cNvPicPr>
          <a:picLocks noChangeAspect="1" noChangeArrowheads="1"/>
        </xdr:cNvPicPr>
      </xdr:nvPicPr>
      <xdr:blipFill>
        <a:blip xmlns:r="http://schemas.openxmlformats.org/officeDocument/2006/relationships" r:embed="rId8"/>
        <a:srcRect/>
        <a:stretch>
          <a:fillRect/>
        </a:stretch>
      </xdr:blipFill>
      <xdr:spPr bwMode="auto">
        <a:xfrm>
          <a:off x="1209675" y="8153400"/>
          <a:ext cx="952500" cy="952500"/>
        </a:xfrm>
        <a:prstGeom prst="rect">
          <a:avLst/>
        </a:prstGeom>
        <a:noFill/>
        <a:ln w="9525">
          <a:noFill/>
          <a:miter lim="800000"/>
          <a:headEnd/>
          <a:tailEnd/>
        </a:ln>
      </xdr:spPr>
    </xdr:pic>
    <xdr:clientData/>
  </xdr:twoCellAnchor>
  <xdr:twoCellAnchor editAs="oneCell">
    <xdr:from>
      <xdr:col>14</xdr:col>
      <xdr:colOff>247650</xdr:colOff>
      <xdr:row>7</xdr:row>
      <xdr:rowOff>47625</xdr:rowOff>
    </xdr:from>
    <xdr:to>
      <xdr:col>14</xdr:col>
      <xdr:colOff>619125</xdr:colOff>
      <xdr:row>8</xdr:row>
      <xdr:rowOff>133350</xdr:rowOff>
    </xdr:to>
    <xdr:pic>
      <xdr:nvPicPr>
        <xdr:cNvPr id="3280707" name="Picture 3360"/>
        <xdr:cNvPicPr>
          <a:picLocks noChangeAspect="1" noChangeArrowheads="1"/>
        </xdr:cNvPicPr>
      </xdr:nvPicPr>
      <xdr:blipFill>
        <a:blip xmlns:r="http://schemas.openxmlformats.org/officeDocument/2006/relationships" r:embed="rId9"/>
        <a:srcRect/>
        <a:stretch>
          <a:fillRect/>
        </a:stretch>
      </xdr:blipFill>
      <xdr:spPr bwMode="auto">
        <a:xfrm>
          <a:off x="8953500" y="1619250"/>
          <a:ext cx="371475" cy="419100"/>
        </a:xfrm>
        <a:prstGeom prst="rect">
          <a:avLst/>
        </a:prstGeom>
        <a:noFill/>
        <a:ln w="9525">
          <a:noFill/>
          <a:miter lim="800000"/>
          <a:headEnd/>
          <a:tailEnd/>
        </a:ln>
      </xdr:spPr>
    </xdr:pic>
    <xdr:clientData/>
  </xdr:twoCellAnchor>
  <xdr:twoCellAnchor editAs="oneCell">
    <xdr:from>
      <xdr:col>14</xdr:col>
      <xdr:colOff>76200</xdr:colOff>
      <xdr:row>9</xdr:row>
      <xdr:rowOff>28575</xdr:rowOff>
    </xdr:from>
    <xdr:to>
      <xdr:col>14</xdr:col>
      <xdr:colOff>904875</xdr:colOff>
      <xdr:row>10</xdr:row>
      <xdr:rowOff>180975</xdr:rowOff>
    </xdr:to>
    <xdr:pic>
      <xdr:nvPicPr>
        <xdr:cNvPr id="3280708" name="Picture 3362"/>
        <xdr:cNvPicPr>
          <a:picLocks noChangeAspect="1" noChangeArrowheads="1"/>
        </xdr:cNvPicPr>
      </xdr:nvPicPr>
      <xdr:blipFill>
        <a:blip xmlns:r="http://schemas.openxmlformats.org/officeDocument/2006/relationships" r:embed="rId10"/>
        <a:srcRect/>
        <a:stretch>
          <a:fillRect/>
        </a:stretch>
      </xdr:blipFill>
      <xdr:spPr bwMode="auto">
        <a:xfrm>
          <a:off x="8782050" y="2152650"/>
          <a:ext cx="828675" cy="371475"/>
        </a:xfrm>
        <a:prstGeom prst="rect">
          <a:avLst/>
        </a:prstGeom>
        <a:noFill/>
        <a:ln w="9525">
          <a:noFill/>
          <a:miter lim="800000"/>
          <a:headEnd/>
          <a:tailEnd/>
        </a:ln>
      </xdr:spPr>
    </xdr:pic>
    <xdr:clientData/>
  </xdr:twoCellAnchor>
  <xdr:twoCellAnchor editAs="oneCell">
    <xdr:from>
      <xdr:col>14</xdr:col>
      <xdr:colOff>238125</xdr:colOff>
      <xdr:row>11</xdr:row>
      <xdr:rowOff>28575</xdr:rowOff>
    </xdr:from>
    <xdr:to>
      <xdr:col>14</xdr:col>
      <xdr:colOff>619125</xdr:colOff>
      <xdr:row>12</xdr:row>
      <xdr:rowOff>161925</xdr:rowOff>
    </xdr:to>
    <xdr:pic>
      <xdr:nvPicPr>
        <xdr:cNvPr id="3280709" name="Picture 3364"/>
        <xdr:cNvPicPr>
          <a:picLocks noChangeAspect="1" noChangeArrowheads="1"/>
        </xdr:cNvPicPr>
      </xdr:nvPicPr>
      <xdr:blipFill>
        <a:blip xmlns:r="http://schemas.openxmlformats.org/officeDocument/2006/relationships" r:embed="rId11"/>
        <a:srcRect/>
        <a:stretch>
          <a:fillRect/>
        </a:stretch>
      </xdr:blipFill>
      <xdr:spPr bwMode="auto">
        <a:xfrm>
          <a:off x="8943975" y="2590800"/>
          <a:ext cx="381000" cy="457200"/>
        </a:xfrm>
        <a:prstGeom prst="rect">
          <a:avLst/>
        </a:prstGeom>
        <a:noFill/>
        <a:ln w="9525">
          <a:noFill/>
          <a:miter lim="800000"/>
          <a:headEnd/>
          <a:tailEnd/>
        </a:ln>
      </xdr:spPr>
    </xdr:pic>
    <xdr:clientData/>
  </xdr:twoCellAnchor>
  <xdr:twoCellAnchor editAs="oneCell">
    <xdr:from>
      <xdr:col>14</xdr:col>
      <xdr:colOff>238125</xdr:colOff>
      <xdr:row>13</xdr:row>
      <xdr:rowOff>38100</xdr:rowOff>
    </xdr:from>
    <xdr:to>
      <xdr:col>14</xdr:col>
      <xdr:colOff>619125</xdr:colOff>
      <xdr:row>14</xdr:row>
      <xdr:rowOff>161925</xdr:rowOff>
    </xdr:to>
    <xdr:pic>
      <xdr:nvPicPr>
        <xdr:cNvPr id="3280710" name="Picture 3366"/>
        <xdr:cNvPicPr>
          <a:picLocks noChangeAspect="1" noChangeArrowheads="1"/>
        </xdr:cNvPicPr>
      </xdr:nvPicPr>
      <xdr:blipFill>
        <a:blip xmlns:r="http://schemas.openxmlformats.org/officeDocument/2006/relationships" r:embed="rId12"/>
        <a:srcRect/>
        <a:stretch>
          <a:fillRect/>
        </a:stretch>
      </xdr:blipFill>
      <xdr:spPr bwMode="auto">
        <a:xfrm>
          <a:off x="8943975" y="3124200"/>
          <a:ext cx="381000" cy="361950"/>
        </a:xfrm>
        <a:prstGeom prst="rect">
          <a:avLst/>
        </a:prstGeom>
        <a:noFill/>
        <a:ln w="9525">
          <a:noFill/>
          <a:miter lim="800000"/>
          <a:headEnd/>
          <a:tailEnd/>
        </a:ln>
      </xdr:spPr>
    </xdr:pic>
    <xdr:clientData/>
  </xdr:twoCellAnchor>
  <xdr:twoCellAnchor editAs="oneCell">
    <xdr:from>
      <xdr:col>14</xdr:col>
      <xdr:colOff>200025</xdr:colOff>
      <xdr:row>15</xdr:row>
      <xdr:rowOff>114300</xdr:rowOff>
    </xdr:from>
    <xdr:to>
      <xdr:col>14</xdr:col>
      <xdr:colOff>676275</xdr:colOff>
      <xdr:row>16</xdr:row>
      <xdr:rowOff>238125</xdr:rowOff>
    </xdr:to>
    <xdr:pic>
      <xdr:nvPicPr>
        <xdr:cNvPr id="3280711" name="Picture 3371"/>
        <xdr:cNvPicPr>
          <a:picLocks noChangeAspect="1" noChangeArrowheads="1"/>
        </xdr:cNvPicPr>
      </xdr:nvPicPr>
      <xdr:blipFill>
        <a:blip xmlns:r="http://schemas.openxmlformats.org/officeDocument/2006/relationships" r:embed="rId13"/>
        <a:srcRect/>
        <a:stretch>
          <a:fillRect/>
        </a:stretch>
      </xdr:blipFill>
      <xdr:spPr bwMode="auto">
        <a:xfrm>
          <a:off x="8905875" y="3638550"/>
          <a:ext cx="476250" cy="323850"/>
        </a:xfrm>
        <a:prstGeom prst="rect">
          <a:avLst/>
        </a:prstGeom>
        <a:noFill/>
        <a:ln w="9525">
          <a:noFill/>
          <a:miter lim="800000"/>
          <a:headEnd/>
          <a:tailEnd/>
        </a:ln>
      </xdr:spPr>
    </xdr:pic>
    <xdr:clientData/>
  </xdr:twoCellAnchor>
  <xdr:twoCellAnchor editAs="oneCell">
    <xdr:from>
      <xdr:col>14</xdr:col>
      <xdr:colOff>342900</xdr:colOff>
      <xdr:row>18</xdr:row>
      <xdr:rowOff>0</xdr:rowOff>
    </xdr:from>
    <xdr:to>
      <xdr:col>14</xdr:col>
      <xdr:colOff>628650</xdr:colOff>
      <xdr:row>19</xdr:row>
      <xdr:rowOff>123825</xdr:rowOff>
    </xdr:to>
    <xdr:pic>
      <xdr:nvPicPr>
        <xdr:cNvPr id="3280712" name="Picture 3373"/>
        <xdr:cNvPicPr>
          <a:picLocks noChangeAspect="1" noChangeArrowheads="1"/>
        </xdr:cNvPicPr>
      </xdr:nvPicPr>
      <xdr:blipFill>
        <a:blip xmlns:r="http://schemas.openxmlformats.org/officeDocument/2006/relationships" r:embed="rId14"/>
        <a:srcRect/>
        <a:stretch>
          <a:fillRect/>
        </a:stretch>
      </xdr:blipFill>
      <xdr:spPr bwMode="auto">
        <a:xfrm>
          <a:off x="9048750" y="4381500"/>
          <a:ext cx="285750" cy="438150"/>
        </a:xfrm>
        <a:prstGeom prst="rect">
          <a:avLst/>
        </a:prstGeom>
        <a:noFill/>
        <a:ln w="9525">
          <a:noFill/>
          <a:miter lim="800000"/>
          <a:headEnd/>
          <a:tailEnd/>
        </a:ln>
      </xdr:spPr>
    </xdr:pic>
    <xdr:clientData/>
  </xdr:twoCellAnchor>
  <xdr:twoCellAnchor editAs="oneCell">
    <xdr:from>
      <xdr:col>14</xdr:col>
      <xdr:colOff>266700</xdr:colOff>
      <xdr:row>21</xdr:row>
      <xdr:rowOff>28575</xdr:rowOff>
    </xdr:from>
    <xdr:to>
      <xdr:col>14</xdr:col>
      <xdr:colOff>552450</xdr:colOff>
      <xdr:row>22</xdr:row>
      <xdr:rowOff>285750</xdr:rowOff>
    </xdr:to>
    <xdr:pic>
      <xdr:nvPicPr>
        <xdr:cNvPr id="3280713" name="Picture 3375"/>
        <xdr:cNvPicPr>
          <a:picLocks noChangeAspect="1" noChangeArrowheads="1"/>
        </xdr:cNvPicPr>
      </xdr:nvPicPr>
      <xdr:blipFill>
        <a:blip xmlns:r="http://schemas.openxmlformats.org/officeDocument/2006/relationships" r:embed="rId15"/>
        <a:srcRect/>
        <a:stretch>
          <a:fillRect/>
        </a:stretch>
      </xdr:blipFill>
      <xdr:spPr bwMode="auto">
        <a:xfrm>
          <a:off x="8972550" y="5257800"/>
          <a:ext cx="285750" cy="590550"/>
        </a:xfrm>
        <a:prstGeom prst="rect">
          <a:avLst/>
        </a:prstGeom>
        <a:noFill/>
        <a:ln w="9525">
          <a:noFill/>
          <a:miter lim="800000"/>
          <a:headEnd/>
          <a:tailEnd/>
        </a:ln>
      </xdr:spPr>
    </xdr:pic>
    <xdr:clientData/>
  </xdr:twoCellAnchor>
  <xdr:twoCellAnchor editAs="oneCell">
    <xdr:from>
      <xdr:col>14</xdr:col>
      <xdr:colOff>228600</xdr:colOff>
      <xdr:row>23</xdr:row>
      <xdr:rowOff>104775</xdr:rowOff>
    </xdr:from>
    <xdr:to>
      <xdr:col>14</xdr:col>
      <xdr:colOff>609600</xdr:colOff>
      <xdr:row>24</xdr:row>
      <xdr:rowOff>238125</xdr:rowOff>
    </xdr:to>
    <xdr:pic>
      <xdr:nvPicPr>
        <xdr:cNvPr id="3280714" name="Picture 3377"/>
        <xdr:cNvPicPr>
          <a:picLocks noChangeAspect="1" noChangeArrowheads="1"/>
        </xdr:cNvPicPr>
      </xdr:nvPicPr>
      <xdr:blipFill>
        <a:blip xmlns:r="http://schemas.openxmlformats.org/officeDocument/2006/relationships" r:embed="rId16"/>
        <a:srcRect/>
        <a:stretch>
          <a:fillRect/>
        </a:stretch>
      </xdr:blipFill>
      <xdr:spPr bwMode="auto">
        <a:xfrm>
          <a:off x="8934450" y="6000750"/>
          <a:ext cx="381000" cy="504825"/>
        </a:xfrm>
        <a:prstGeom prst="rect">
          <a:avLst/>
        </a:prstGeom>
        <a:noFill/>
        <a:ln w="9525">
          <a:noFill/>
          <a:miter lim="800000"/>
          <a:headEnd/>
          <a:tailEnd/>
        </a:ln>
      </xdr:spPr>
    </xdr:pic>
    <xdr:clientData/>
  </xdr:twoCellAnchor>
  <xdr:twoCellAnchor editAs="oneCell">
    <xdr:from>
      <xdr:col>14</xdr:col>
      <xdr:colOff>228600</xdr:colOff>
      <xdr:row>25</xdr:row>
      <xdr:rowOff>47625</xdr:rowOff>
    </xdr:from>
    <xdr:to>
      <xdr:col>14</xdr:col>
      <xdr:colOff>609600</xdr:colOff>
      <xdr:row>25</xdr:row>
      <xdr:rowOff>476250</xdr:rowOff>
    </xdr:to>
    <xdr:pic>
      <xdr:nvPicPr>
        <xdr:cNvPr id="3280715" name="Picture 3379"/>
        <xdr:cNvPicPr>
          <a:picLocks noChangeAspect="1" noChangeArrowheads="1"/>
        </xdr:cNvPicPr>
      </xdr:nvPicPr>
      <xdr:blipFill>
        <a:blip xmlns:r="http://schemas.openxmlformats.org/officeDocument/2006/relationships" r:embed="rId17"/>
        <a:srcRect/>
        <a:stretch>
          <a:fillRect/>
        </a:stretch>
      </xdr:blipFill>
      <xdr:spPr bwMode="auto">
        <a:xfrm>
          <a:off x="8934450" y="6686550"/>
          <a:ext cx="381000" cy="428625"/>
        </a:xfrm>
        <a:prstGeom prst="rect">
          <a:avLst/>
        </a:prstGeom>
        <a:noFill/>
        <a:ln w="9525">
          <a:noFill/>
          <a:miter lim="800000"/>
          <a:headEnd/>
          <a:tailEnd/>
        </a:ln>
      </xdr:spPr>
    </xdr:pic>
    <xdr:clientData/>
  </xdr:twoCellAnchor>
  <xdr:twoCellAnchor editAs="oneCell">
    <xdr:from>
      <xdr:col>14</xdr:col>
      <xdr:colOff>180975</xdr:colOff>
      <xdr:row>27</xdr:row>
      <xdr:rowOff>276225</xdr:rowOff>
    </xdr:from>
    <xdr:to>
      <xdr:col>14</xdr:col>
      <xdr:colOff>657225</xdr:colOff>
      <xdr:row>28</xdr:row>
      <xdr:rowOff>47625</xdr:rowOff>
    </xdr:to>
    <xdr:pic>
      <xdr:nvPicPr>
        <xdr:cNvPr id="3280716" name="Picture 3381"/>
        <xdr:cNvPicPr>
          <a:picLocks noChangeAspect="1" noChangeArrowheads="1"/>
        </xdr:cNvPicPr>
      </xdr:nvPicPr>
      <xdr:blipFill>
        <a:blip xmlns:r="http://schemas.openxmlformats.org/officeDocument/2006/relationships" r:embed="rId18"/>
        <a:srcRect/>
        <a:stretch>
          <a:fillRect/>
        </a:stretch>
      </xdr:blipFill>
      <xdr:spPr bwMode="auto">
        <a:xfrm>
          <a:off x="8886825" y="8001000"/>
          <a:ext cx="476250" cy="152400"/>
        </a:xfrm>
        <a:prstGeom prst="rect">
          <a:avLst/>
        </a:prstGeom>
        <a:noFill/>
        <a:ln w="9525">
          <a:noFill/>
          <a:miter lim="800000"/>
          <a:headEnd/>
          <a:tailEnd/>
        </a:ln>
      </xdr:spPr>
    </xdr:pic>
    <xdr:clientData/>
  </xdr:twoCellAnchor>
  <xdr:twoCellAnchor editAs="oneCell">
    <xdr:from>
      <xdr:col>14</xdr:col>
      <xdr:colOff>123825</xdr:colOff>
      <xdr:row>29</xdr:row>
      <xdr:rowOff>95250</xdr:rowOff>
    </xdr:from>
    <xdr:to>
      <xdr:col>14</xdr:col>
      <xdr:colOff>742950</xdr:colOff>
      <xdr:row>31</xdr:row>
      <xdr:rowOff>0</xdr:rowOff>
    </xdr:to>
    <xdr:pic>
      <xdr:nvPicPr>
        <xdr:cNvPr id="3280717" name="Picture 3385"/>
        <xdr:cNvPicPr>
          <a:picLocks noChangeAspect="1" noChangeArrowheads="1"/>
        </xdr:cNvPicPr>
      </xdr:nvPicPr>
      <xdr:blipFill>
        <a:blip xmlns:r="http://schemas.openxmlformats.org/officeDocument/2006/relationships" r:embed="rId19"/>
        <a:srcRect/>
        <a:stretch>
          <a:fillRect/>
        </a:stretch>
      </xdr:blipFill>
      <xdr:spPr bwMode="auto">
        <a:xfrm>
          <a:off x="8829675" y="8582025"/>
          <a:ext cx="619125" cy="228600"/>
        </a:xfrm>
        <a:prstGeom prst="rect">
          <a:avLst/>
        </a:prstGeom>
        <a:noFill/>
        <a:ln w="9525">
          <a:noFill/>
          <a:miter lim="800000"/>
          <a:headEnd/>
          <a:tailEnd/>
        </a:ln>
      </xdr:spPr>
    </xdr:pic>
    <xdr:clientData/>
  </xdr:twoCellAnchor>
  <xdr:twoCellAnchor editAs="oneCell">
    <xdr:from>
      <xdr:col>14</xdr:col>
      <xdr:colOff>266700</xdr:colOff>
      <xdr:row>33</xdr:row>
      <xdr:rowOff>142875</xdr:rowOff>
    </xdr:from>
    <xdr:to>
      <xdr:col>14</xdr:col>
      <xdr:colOff>647700</xdr:colOff>
      <xdr:row>34</xdr:row>
      <xdr:rowOff>95250</xdr:rowOff>
    </xdr:to>
    <xdr:pic>
      <xdr:nvPicPr>
        <xdr:cNvPr id="3280718" name="Picture 3387"/>
        <xdr:cNvPicPr>
          <a:picLocks noChangeAspect="1" noChangeArrowheads="1"/>
        </xdr:cNvPicPr>
      </xdr:nvPicPr>
      <xdr:blipFill>
        <a:blip xmlns:r="http://schemas.openxmlformats.org/officeDocument/2006/relationships" r:embed="rId20"/>
        <a:srcRect/>
        <a:stretch>
          <a:fillRect/>
        </a:stretch>
      </xdr:blipFill>
      <xdr:spPr bwMode="auto">
        <a:xfrm>
          <a:off x="8972550" y="9277350"/>
          <a:ext cx="381000" cy="304800"/>
        </a:xfrm>
        <a:prstGeom prst="rect">
          <a:avLst/>
        </a:prstGeom>
        <a:noFill/>
        <a:ln w="9525">
          <a:noFill/>
          <a:miter lim="800000"/>
          <a:headEnd/>
          <a:tailEnd/>
        </a:ln>
      </xdr:spPr>
    </xdr:pic>
    <xdr:clientData/>
  </xdr:twoCellAnchor>
  <xdr:twoCellAnchor editAs="oneCell">
    <xdr:from>
      <xdr:col>14</xdr:col>
      <xdr:colOff>276225</xdr:colOff>
      <xdr:row>35</xdr:row>
      <xdr:rowOff>104775</xdr:rowOff>
    </xdr:from>
    <xdr:to>
      <xdr:col>14</xdr:col>
      <xdr:colOff>657225</xdr:colOff>
      <xdr:row>37</xdr:row>
      <xdr:rowOff>47625</xdr:rowOff>
    </xdr:to>
    <xdr:pic>
      <xdr:nvPicPr>
        <xdr:cNvPr id="3280719" name="Picture 3389"/>
        <xdr:cNvPicPr>
          <a:picLocks noChangeAspect="1" noChangeArrowheads="1"/>
        </xdr:cNvPicPr>
      </xdr:nvPicPr>
      <xdr:blipFill>
        <a:blip xmlns:r="http://schemas.openxmlformats.org/officeDocument/2006/relationships" r:embed="rId21"/>
        <a:srcRect/>
        <a:stretch>
          <a:fillRect/>
        </a:stretch>
      </xdr:blipFill>
      <xdr:spPr bwMode="auto">
        <a:xfrm>
          <a:off x="8982075" y="9877425"/>
          <a:ext cx="381000" cy="266700"/>
        </a:xfrm>
        <a:prstGeom prst="rect">
          <a:avLst/>
        </a:prstGeom>
        <a:noFill/>
        <a:ln w="9525">
          <a:noFill/>
          <a:miter lim="800000"/>
          <a:headEnd/>
          <a:tailEnd/>
        </a:ln>
      </xdr:spPr>
    </xdr:pic>
    <xdr:clientData/>
  </xdr:twoCellAnchor>
  <xdr:twoCellAnchor editAs="oneCell">
    <xdr:from>
      <xdr:col>14</xdr:col>
      <xdr:colOff>219075</xdr:colOff>
      <xdr:row>26</xdr:row>
      <xdr:rowOff>38100</xdr:rowOff>
    </xdr:from>
    <xdr:to>
      <xdr:col>14</xdr:col>
      <xdr:colOff>695325</xdr:colOff>
      <xdr:row>26</xdr:row>
      <xdr:rowOff>485775</xdr:rowOff>
    </xdr:to>
    <xdr:pic>
      <xdr:nvPicPr>
        <xdr:cNvPr id="3280720" name="Рисунок 35"/>
        <xdr:cNvPicPr>
          <a:picLocks noChangeAspect="1"/>
        </xdr:cNvPicPr>
      </xdr:nvPicPr>
      <xdr:blipFill>
        <a:blip xmlns:r="http://schemas.openxmlformats.org/officeDocument/2006/relationships" r:embed="rId22" cstate="print"/>
        <a:srcRect/>
        <a:stretch>
          <a:fillRect/>
        </a:stretch>
      </xdr:blipFill>
      <xdr:spPr bwMode="auto">
        <a:xfrm>
          <a:off x="8924925" y="7200900"/>
          <a:ext cx="476250" cy="4476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16</xdr:row>
      <xdr:rowOff>28575</xdr:rowOff>
    </xdr:from>
    <xdr:to>
      <xdr:col>0</xdr:col>
      <xdr:colOff>1781175</xdr:colOff>
      <xdr:row>17</xdr:row>
      <xdr:rowOff>400050</xdr:rowOff>
    </xdr:to>
    <xdr:pic>
      <xdr:nvPicPr>
        <xdr:cNvPr id="3279533" name="Picture 79"/>
        <xdr:cNvPicPr>
          <a:picLocks noChangeAspect="1" noChangeArrowheads="1"/>
        </xdr:cNvPicPr>
      </xdr:nvPicPr>
      <xdr:blipFill>
        <a:blip xmlns:r="http://schemas.openxmlformats.org/officeDocument/2006/relationships" r:embed="rId1"/>
        <a:srcRect/>
        <a:stretch>
          <a:fillRect/>
        </a:stretch>
      </xdr:blipFill>
      <xdr:spPr bwMode="auto">
        <a:xfrm>
          <a:off x="38100" y="5895975"/>
          <a:ext cx="1743075" cy="809625"/>
        </a:xfrm>
        <a:prstGeom prst="rect">
          <a:avLst/>
        </a:prstGeom>
        <a:noFill/>
        <a:ln w="9525">
          <a:noFill/>
          <a:miter lim="800000"/>
          <a:headEnd/>
          <a:tailEnd/>
        </a:ln>
      </xdr:spPr>
    </xdr:pic>
    <xdr:clientData/>
  </xdr:twoCellAnchor>
  <xdr:twoCellAnchor editAs="oneCell">
    <xdr:from>
      <xdr:col>0</xdr:col>
      <xdr:colOff>66675</xdr:colOff>
      <xdr:row>19</xdr:row>
      <xdr:rowOff>28575</xdr:rowOff>
    </xdr:from>
    <xdr:to>
      <xdr:col>0</xdr:col>
      <xdr:colOff>1790700</xdr:colOff>
      <xdr:row>20</xdr:row>
      <xdr:rowOff>361950</xdr:rowOff>
    </xdr:to>
    <xdr:pic>
      <xdr:nvPicPr>
        <xdr:cNvPr id="3279534" name="Picture 81"/>
        <xdr:cNvPicPr>
          <a:picLocks noChangeAspect="1" noChangeArrowheads="1"/>
        </xdr:cNvPicPr>
      </xdr:nvPicPr>
      <xdr:blipFill>
        <a:blip xmlns:r="http://schemas.openxmlformats.org/officeDocument/2006/relationships" r:embed="rId2"/>
        <a:srcRect/>
        <a:stretch>
          <a:fillRect/>
        </a:stretch>
      </xdr:blipFill>
      <xdr:spPr bwMode="auto">
        <a:xfrm>
          <a:off x="66675" y="6953250"/>
          <a:ext cx="1724025" cy="714375"/>
        </a:xfrm>
        <a:prstGeom prst="rect">
          <a:avLst/>
        </a:prstGeom>
        <a:noFill/>
        <a:ln w="9525">
          <a:noFill/>
          <a:miter lim="800000"/>
          <a:headEnd/>
          <a:tailEnd/>
        </a:ln>
      </xdr:spPr>
    </xdr:pic>
    <xdr:clientData/>
  </xdr:twoCellAnchor>
  <xdr:twoCellAnchor editAs="oneCell">
    <xdr:from>
      <xdr:col>0</xdr:col>
      <xdr:colOff>76200</xdr:colOff>
      <xdr:row>21</xdr:row>
      <xdr:rowOff>47625</xdr:rowOff>
    </xdr:from>
    <xdr:to>
      <xdr:col>0</xdr:col>
      <xdr:colOff>1743075</xdr:colOff>
      <xdr:row>23</xdr:row>
      <xdr:rowOff>295275</xdr:rowOff>
    </xdr:to>
    <xdr:pic>
      <xdr:nvPicPr>
        <xdr:cNvPr id="3279535" name="Picture 83"/>
        <xdr:cNvPicPr>
          <a:picLocks noChangeAspect="1" noChangeArrowheads="1"/>
        </xdr:cNvPicPr>
      </xdr:nvPicPr>
      <xdr:blipFill>
        <a:blip xmlns:r="http://schemas.openxmlformats.org/officeDocument/2006/relationships" r:embed="rId3"/>
        <a:srcRect/>
        <a:stretch>
          <a:fillRect/>
        </a:stretch>
      </xdr:blipFill>
      <xdr:spPr bwMode="auto">
        <a:xfrm>
          <a:off x="76200" y="7734300"/>
          <a:ext cx="1666875" cy="733425"/>
        </a:xfrm>
        <a:prstGeom prst="rect">
          <a:avLst/>
        </a:prstGeom>
        <a:noFill/>
        <a:ln w="9525">
          <a:noFill/>
          <a:miter lim="800000"/>
          <a:headEnd/>
          <a:tailEnd/>
        </a:ln>
      </xdr:spPr>
    </xdr:pic>
    <xdr:clientData/>
  </xdr:twoCellAnchor>
  <xdr:twoCellAnchor editAs="oneCell">
    <xdr:from>
      <xdr:col>0</xdr:col>
      <xdr:colOff>495300</xdr:colOff>
      <xdr:row>24</xdr:row>
      <xdr:rowOff>9525</xdr:rowOff>
    </xdr:from>
    <xdr:to>
      <xdr:col>0</xdr:col>
      <xdr:colOff>1123950</xdr:colOff>
      <xdr:row>25</xdr:row>
      <xdr:rowOff>400050</xdr:rowOff>
    </xdr:to>
    <xdr:pic>
      <xdr:nvPicPr>
        <xdr:cNvPr id="3279536" name="Picture 85"/>
        <xdr:cNvPicPr>
          <a:picLocks noChangeAspect="1" noChangeArrowheads="1"/>
        </xdr:cNvPicPr>
      </xdr:nvPicPr>
      <xdr:blipFill>
        <a:blip xmlns:r="http://schemas.openxmlformats.org/officeDocument/2006/relationships" r:embed="rId4"/>
        <a:srcRect/>
        <a:stretch>
          <a:fillRect/>
        </a:stretch>
      </xdr:blipFill>
      <xdr:spPr bwMode="auto">
        <a:xfrm>
          <a:off x="495300" y="8505825"/>
          <a:ext cx="628650" cy="552450"/>
        </a:xfrm>
        <a:prstGeom prst="rect">
          <a:avLst/>
        </a:prstGeom>
        <a:noFill/>
        <a:ln w="9525">
          <a:noFill/>
          <a:miter lim="800000"/>
          <a:headEnd/>
          <a:tailEnd/>
        </a:ln>
      </xdr:spPr>
    </xdr:pic>
    <xdr:clientData/>
  </xdr:twoCellAnchor>
  <xdr:twoCellAnchor editAs="oneCell">
    <xdr:from>
      <xdr:col>0</xdr:col>
      <xdr:colOff>57150</xdr:colOff>
      <xdr:row>27</xdr:row>
      <xdr:rowOff>38100</xdr:rowOff>
    </xdr:from>
    <xdr:to>
      <xdr:col>0</xdr:col>
      <xdr:colOff>1800225</xdr:colOff>
      <xdr:row>28</xdr:row>
      <xdr:rowOff>409575</xdr:rowOff>
    </xdr:to>
    <xdr:pic>
      <xdr:nvPicPr>
        <xdr:cNvPr id="3279537" name="Picture 87"/>
        <xdr:cNvPicPr>
          <a:picLocks noChangeAspect="1" noChangeArrowheads="1"/>
        </xdr:cNvPicPr>
      </xdr:nvPicPr>
      <xdr:blipFill>
        <a:blip xmlns:r="http://schemas.openxmlformats.org/officeDocument/2006/relationships" r:embed="rId5"/>
        <a:srcRect/>
        <a:stretch>
          <a:fillRect/>
        </a:stretch>
      </xdr:blipFill>
      <xdr:spPr bwMode="auto">
        <a:xfrm>
          <a:off x="57150" y="9286875"/>
          <a:ext cx="1743075" cy="781050"/>
        </a:xfrm>
        <a:prstGeom prst="rect">
          <a:avLst/>
        </a:prstGeom>
        <a:noFill/>
        <a:ln w="9525">
          <a:noFill/>
          <a:miter lim="800000"/>
          <a:headEnd/>
          <a:tailEnd/>
        </a:ln>
      </xdr:spPr>
    </xdr:pic>
    <xdr:clientData/>
  </xdr:twoCellAnchor>
  <xdr:twoCellAnchor editAs="oneCell">
    <xdr:from>
      <xdr:col>0</xdr:col>
      <xdr:colOff>95250</xdr:colOff>
      <xdr:row>29</xdr:row>
      <xdr:rowOff>38100</xdr:rowOff>
    </xdr:from>
    <xdr:to>
      <xdr:col>0</xdr:col>
      <xdr:colOff>1771650</xdr:colOff>
      <xdr:row>30</xdr:row>
      <xdr:rowOff>371475</xdr:rowOff>
    </xdr:to>
    <xdr:pic>
      <xdr:nvPicPr>
        <xdr:cNvPr id="3279538" name="Picture 89"/>
        <xdr:cNvPicPr>
          <a:picLocks noChangeAspect="1" noChangeArrowheads="1"/>
        </xdr:cNvPicPr>
      </xdr:nvPicPr>
      <xdr:blipFill>
        <a:blip xmlns:r="http://schemas.openxmlformats.org/officeDocument/2006/relationships" r:embed="rId6"/>
        <a:srcRect/>
        <a:stretch>
          <a:fillRect/>
        </a:stretch>
      </xdr:blipFill>
      <xdr:spPr bwMode="auto">
        <a:xfrm>
          <a:off x="95250" y="10153650"/>
          <a:ext cx="1676400" cy="752475"/>
        </a:xfrm>
        <a:prstGeom prst="rect">
          <a:avLst/>
        </a:prstGeom>
        <a:noFill/>
        <a:ln w="9525">
          <a:noFill/>
          <a:miter lim="800000"/>
          <a:headEnd/>
          <a:tailEnd/>
        </a:ln>
      </xdr:spPr>
    </xdr:pic>
    <xdr:clientData/>
  </xdr:twoCellAnchor>
  <xdr:twoCellAnchor editAs="oneCell">
    <xdr:from>
      <xdr:col>0</xdr:col>
      <xdr:colOff>66675</xdr:colOff>
      <xdr:row>32</xdr:row>
      <xdr:rowOff>66675</xdr:rowOff>
    </xdr:from>
    <xdr:to>
      <xdr:col>0</xdr:col>
      <xdr:colOff>1752600</xdr:colOff>
      <xdr:row>32</xdr:row>
      <xdr:rowOff>523875</xdr:rowOff>
    </xdr:to>
    <xdr:pic>
      <xdr:nvPicPr>
        <xdr:cNvPr id="3279539" name="Picture 91"/>
        <xdr:cNvPicPr>
          <a:picLocks noChangeAspect="1" noChangeArrowheads="1"/>
        </xdr:cNvPicPr>
      </xdr:nvPicPr>
      <xdr:blipFill>
        <a:blip xmlns:r="http://schemas.openxmlformats.org/officeDocument/2006/relationships" r:embed="rId7"/>
        <a:srcRect/>
        <a:stretch>
          <a:fillRect/>
        </a:stretch>
      </xdr:blipFill>
      <xdr:spPr bwMode="auto">
        <a:xfrm>
          <a:off x="66675" y="11639550"/>
          <a:ext cx="1685925" cy="457200"/>
        </a:xfrm>
        <a:prstGeom prst="rect">
          <a:avLst/>
        </a:prstGeom>
        <a:noFill/>
        <a:ln w="9525">
          <a:noFill/>
          <a:miter lim="800000"/>
          <a:headEnd/>
          <a:tailEnd/>
        </a:ln>
      </xdr:spPr>
    </xdr:pic>
    <xdr:clientData/>
  </xdr:twoCellAnchor>
  <xdr:twoCellAnchor editAs="oneCell">
    <xdr:from>
      <xdr:col>0</xdr:col>
      <xdr:colOff>9525</xdr:colOff>
      <xdr:row>33</xdr:row>
      <xdr:rowOff>38100</xdr:rowOff>
    </xdr:from>
    <xdr:to>
      <xdr:col>0</xdr:col>
      <xdr:colOff>1704975</xdr:colOff>
      <xdr:row>33</xdr:row>
      <xdr:rowOff>561975</xdr:rowOff>
    </xdr:to>
    <xdr:pic>
      <xdr:nvPicPr>
        <xdr:cNvPr id="3279540" name="Picture 93"/>
        <xdr:cNvPicPr>
          <a:picLocks noChangeAspect="1" noChangeArrowheads="1"/>
        </xdr:cNvPicPr>
      </xdr:nvPicPr>
      <xdr:blipFill>
        <a:blip xmlns:r="http://schemas.openxmlformats.org/officeDocument/2006/relationships" r:embed="rId8"/>
        <a:srcRect/>
        <a:stretch>
          <a:fillRect/>
        </a:stretch>
      </xdr:blipFill>
      <xdr:spPr bwMode="auto">
        <a:xfrm>
          <a:off x="9525" y="12230100"/>
          <a:ext cx="1695450" cy="523875"/>
        </a:xfrm>
        <a:prstGeom prst="rect">
          <a:avLst/>
        </a:prstGeom>
        <a:noFill/>
        <a:ln w="9525">
          <a:noFill/>
          <a:miter lim="800000"/>
          <a:headEnd/>
          <a:tailEnd/>
        </a:ln>
      </xdr:spPr>
    </xdr:pic>
    <xdr:clientData/>
  </xdr:twoCellAnchor>
  <xdr:twoCellAnchor editAs="oneCell">
    <xdr:from>
      <xdr:col>0</xdr:col>
      <xdr:colOff>38100</xdr:colOff>
      <xdr:row>34</xdr:row>
      <xdr:rowOff>85725</xdr:rowOff>
    </xdr:from>
    <xdr:to>
      <xdr:col>0</xdr:col>
      <xdr:colOff>1676400</xdr:colOff>
      <xdr:row>34</xdr:row>
      <xdr:rowOff>561975</xdr:rowOff>
    </xdr:to>
    <xdr:pic>
      <xdr:nvPicPr>
        <xdr:cNvPr id="3279541" name="Picture 95"/>
        <xdr:cNvPicPr>
          <a:picLocks noChangeAspect="1" noChangeArrowheads="1"/>
        </xdr:cNvPicPr>
      </xdr:nvPicPr>
      <xdr:blipFill>
        <a:blip xmlns:r="http://schemas.openxmlformats.org/officeDocument/2006/relationships" r:embed="rId9"/>
        <a:srcRect/>
        <a:stretch>
          <a:fillRect/>
        </a:stretch>
      </xdr:blipFill>
      <xdr:spPr bwMode="auto">
        <a:xfrm>
          <a:off x="38100" y="12849225"/>
          <a:ext cx="1638300" cy="476250"/>
        </a:xfrm>
        <a:prstGeom prst="rect">
          <a:avLst/>
        </a:prstGeom>
        <a:noFill/>
        <a:ln w="9525">
          <a:noFill/>
          <a:miter lim="800000"/>
          <a:headEnd/>
          <a:tailEnd/>
        </a:ln>
      </xdr:spPr>
    </xdr:pic>
    <xdr:clientData/>
  </xdr:twoCellAnchor>
  <xdr:twoCellAnchor editAs="oneCell">
    <xdr:from>
      <xdr:col>0</xdr:col>
      <xdr:colOff>114300</xdr:colOff>
      <xdr:row>35</xdr:row>
      <xdr:rowOff>66675</xdr:rowOff>
    </xdr:from>
    <xdr:to>
      <xdr:col>0</xdr:col>
      <xdr:colOff>1743075</xdr:colOff>
      <xdr:row>35</xdr:row>
      <xdr:rowOff>466725</xdr:rowOff>
    </xdr:to>
    <xdr:pic>
      <xdr:nvPicPr>
        <xdr:cNvPr id="3279542" name="Picture 97"/>
        <xdr:cNvPicPr>
          <a:picLocks noChangeAspect="1" noChangeArrowheads="1"/>
        </xdr:cNvPicPr>
      </xdr:nvPicPr>
      <xdr:blipFill>
        <a:blip xmlns:r="http://schemas.openxmlformats.org/officeDocument/2006/relationships" r:embed="rId10"/>
        <a:srcRect/>
        <a:stretch>
          <a:fillRect/>
        </a:stretch>
      </xdr:blipFill>
      <xdr:spPr bwMode="auto">
        <a:xfrm>
          <a:off x="114300" y="13458825"/>
          <a:ext cx="1628775" cy="400050"/>
        </a:xfrm>
        <a:prstGeom prst="rect">
          <a:avLst/>
        </a:prstGeom>
        <a:noFill/>
        <a:ln w="9525">
          <a:noFill/>
          <a:miter lim="800000"/>
          <a:headEnd/>
          <a:tailEnd/>
        </a:ln>
      </xdr:spPr>
    </xdr:pic>
    <xdr:clientData/>
  </xdr:twoCellAnchor>
  <xdr:twoCellAnchor editAs="oneCell">
    <xdr:from>
      <xdr:col>0</xdr:col>
      <xdr:colOff>66675</xdr:colOff>
      <xdr:row>36</xdr:row>
      <xdr:rowOff>28575</xdr:rowOff>
    </xdr:from>
    <xdr:to>
      <xdr:col>0</xdr:col>
      <xdr:colOff>1828800</xdr:colOff>
      <xdr:row>36</xdr:row>
      <xdr:rowOff>561975</xdr:rowOff>
    </xdr:to>
    <xdr:pic>
      <xdr:nvPicPr>
        <xdr:cNvPr id="3279543" name="Picture 99"/>
        <xdr:cNvPicPr>
          <a:picLocks noChangeAspect="1" noChangeArrowheads="1"/>
        </xdr:cNvPicPr>
      </xdr:nvPicPr>
      <xdr:blipFill>
        <a:blip xmlns:r="http://schemas.openxmlformats.org/officeDocument/2006/relationships" r:embed="rId11"/>
        <a:srcRect/>
        <a:stretch>
          <a:fillRect/>
        </a:stretch>
      </xdr:blipFill>
      <xdr:spPr bwMode="auto">
        <a:xfrm>
          <a:off x="66675" y="14068425"/>
          <a:ext cx="1762125" cy="533400"/>
        </a:xfrm>
        <a:prstGeom prst="rect">
          <a:avLst/>
        </a:prstGeom>
        <a:noFill/>
        <a:ln w="9525">
          <a:noFill/>
          <a:miter lim="800000"/>
          <a:headEnd/>
          <a:tailEnd/>
        </a:ln>
      </xdr:spPr>
    </xdr:pic>
    <xdr:clientData/>
  </xdr:twoCellAnchor>
  <xdr:twoCellAnchor editAs="oneCell">
    <xdr:from>
      <xdr:col>5</xdr:col>
      <xdr:colOff>152400</xdr:colOff>
      <xdr:row>16</xdr:row>
      <xdr:rowOff>114300</xdr:rowOff>
    </xdr:from>
    <xdr:to>
      <xdr:col>5</xdr:col>
      <xdr:colOff>1762125</xdr:colOff>
      <xdr:row>18</xdr:row>
      <xdr:rowOff>152400</xdr:rowOff>
    </xdr:to>
    <xdr:pic>
      <xdr:nvPicPr>
        <xdr:cNvPr id="3279544" name="Picture 101"/>
        <xdr:cNvPicPr>
          <a:picLocks noChangeAspect="1" noChangeArrowheads="1"/>
        </xdr:cNvPicPr>
      </xdr:nvPicPr>
      <xdr:blipFill>
        <a:blip xmlns:r="http://schemas.openxmlformats.org/officeDocument/2006/relationships" r:embed="rId12"/>
        <a:srcRect/>
        <a:stretch>
          <a:fillRect/>
        </a:stretch>
      </xdr:blipFill>
      <xdr:spPr bwMode="auto">
        <a:xfrm>
          <a:off x="7629525" y="5981700"/>
          <a:ext cx="1609725" cy="914400"/>
        </a:xfrm>
        <a:prstGeom prst="rect">
          <a:avLst/>
        </a:prstGeom>
        <a:noFill/>
        <a:ln w="9525">
          <a:noFill/>
          <a:miter lim="800000"/>
          <a:headEnd/>
          <a:tailEnd/>
        </a:ln>
      </xdr:spPr>
    </xdr:pic>
    <xdr:clientData/>
  </xdr:twoCellAnchor>
  <xdr:twoCellAnchor editAs="oneCell">
    <xdr:from>
      <xdr:col>5</xdr:col>
      <xdr:colOff>47625</xdr:colOff>
      <xdr:row>18</xdr:row>
      <xdr:rowOff>142875</xdr:rowOff>
    </xdr:from>
    <xdr:to>
      <xdr:col>5</xdr:col>
      <xdr:colOff>1895475</xdr:colOff>
      <xdr:row>20</xdr:row>
      <xdr:rowOff>285750</xdr:rowOff>
    </xdr:to>
    <xdr:pic>
      <xdr:nvPicPr>
        <xdr:cNvPr id="3279545" name="Picture 103"/>
        <xdr:cNvPicPr>
          <a:picLocks noChangeAspect="1" noChangeArrowheads="1"/>
        </xdr:cNvPicPr>
      </xdr:nvPicPr>
      <xdr:blipFill>
        <a:blip xmlns:r="http://schemas.openxmlformats.org/officeDocument/2006/relationships" r:embed="rId13"/>
        <a:srcRect/>
        <a:stretch>
          <a:fillRect/>
        </a:stretch>
      </xdr:blipFill>
      <xdr:spPr bwMode="auto">
        <a:xfrm>
          <a:off x="7524750" y="6886575"/>
          <a:ext cx="1847850" cy="704850"/>
        </a:xfrm>
        <a:prstGeom prst="rect">
          <a:avLst/>
        </a:prstGeom>
        <a:noFill/>
        <a:ln w="9525">
          <a:noFill/>
          <a:miter lim="800000"/>
          <a:headEnd/>
          <a:tailEnd/>
        </a:ln>
      </xdr:spPr>
    </xdr:pic>
    <xdr:clientData/>
  </xdr:twoCellAnchor>
  <xdr:twoCellAnchor editAs="oneCell">
    <xdr:from>
      <xdr:col>5</xdr:col>
      <xdr:colOff>200025</xdr:colOff>
      <xdr:row>24</xdr:row>
      <xdr:rowOff>38100</xdr:rowOff>
    </xdr:from>
    <xdr:to>
      <xdr:col>5</xdr:col>
      <xdr:colOff>1628775</xdr:colOff>
      <xdr:row>25</xdr:row>
      <xdr:rowOff>361950</xdr:rowOff>
    </xdr:to>
    <xdr:pic>
      <xdr:nvPicPr>
        <xdr:cNvPr id="3279546" name="Picture 113"/>
        <xdr:cNvPicPr>
          <a:picLocks noChangeAspect="1" noChangeArrowheads="1"/>
        </xdr:cNvPicPr>
      </xdr:nvPicPr>
      <xdr:blipFill>
        <a:blip xmlns:r="http://schemas.openxmlformats.org/officeDocument/2006/relationships" r:embed="rId14"/>
        <a:srcRect/>
        <a:stretch>
          <a:fillRect/>
        </a:stretch>
      </xdr:blipFill>
      <xdr:spPr bwMode="auto">
        <a:xfrm>
          <a:off x="7677150" y="8534400"/>
          <a:ext cx="1428750" cy="485775"/>
        </a:xfrm>
        <a:prstGeom prst="rect">
          <a:avLst/>
        </a:prstGeom>
        <a:noFill/>
        <a:ln w="9525">
          <a:noFill/>
          <a:miter lim="800000"/>
          <a:headEnd/>
          <a:tailEnd/>
        </a:ln>
      </xdr:spPr>
    </xdr:pic>
    <xdr:clientData/>
  </xdr:twoCellAnchor>
  <xdr:twoCellAnchor editAs="oneCell">
    <xdr:from>
      <xdr:col>5</xdr:col>
      <xdr:colOff>200025</xdr:colOff>
      <xdr:row>26</xdr:row>
      <xdr:rowOff>85725</xdr:rowOff>
    </xdr:from>
    <xdr:to>
      <xdr:col>5</xdr:col>
      <xdr:colOff>1371600</xdr:colOff>
      <xdr:row>27</xdr:row>
      <xdr:rowOff>342900</xdr:rowOff>
    </xdr:to>
    <xdr:pic>
      <xdr:nvPicPr>
        <xdr:cNvPr id="3279547" name="Picture 115"/>
        <xdr:cNvPicPr>
          <a:picLocks noChangeAspect="1" noChangeArrowheads="1"/>
        </xdr:cNvPicPr>
      </xdr:nvPicPr>
      <xdr:blipFill>
        <a:blip xmlns:r="http://schemas.openxmlformats.org/officeDocument/2006/relationships" r:embed="rId15"/>
        <a:srcRect/>
        <a:stretch>
          <a:fillRect/>
        </a:stretch>
      </xdr:blipFill>
      <xdr:spPr bwMode="auto">
        <a:xfrm>
          <a:off x="7677150" y="9153525"/>
          <a:ext cx="1171575" cy="438150"/>
        </a:xfrm>
        <a:prstGeom prst="rect">
          <a:avLst/>
        </a:prstGeom>
        <a:noFill/>
        <a:ln w="9525">
          <a:noFill/>
          <a:miter lim="800000"/>
          <a:headEnd/>
          <a:tailEnd/>
        </a:ln>
      </xdr:spPr>
    </xdr:pic>
    <xdr:clientData/>
  </xdr:twoCellAnchor>
  <xdr:twoCellAnchor editAs="oneCell">
    <xdr:from>
      <xdr:col>5</xdr:col>
      <xdr:colOff>152400</xdr:colOff>
      <xdr:row>28</xdr:row>
      <xdr:rowOff>161925</xdr:rowOff>
    </xdr:from>
    <xdr:to>
      <xdr:col>5</xdr:col>
      <xdr:colOff>1638300</xdr:colOff>
      <xdr:row>29</xdr:row>
      <xdr:rowOff>228600</xdr:rowOff>
    </xdr:to>
    <xdr:pic>
      <xdr:nvPicPr>
        <xdr:cNvPr id="3279548" name="Picture 117"/>
        <xdr:cNvPicPr>
          <a:picLocks noChangeAspect="1" noChangeArrowheads="1"/>
        </xdr:cNvPicPr>
      </xdr:nvPicPr>
      <xdr:blipFill>
        <a:blip xmlns:r="http://schemas.openxmlformats.org/officeDocument/2006/relationships" r:embed="rId16"/>
        <a:srcRect/>
        <a:stretch>
          <a:fillRect/>
        </a:stretch>
      </xdr:blipFill>
      <xdr:spPr bwMode="auto">
        <a:xfrm>
          <a:off x="7629525" y="9820275"/>
          <a:ext cx="1485900" cy="523875"/>
        </a:xfrm>
        <a:prstGeom prst="rect">
          <a:avLst/>
        </a:prstGeom>
        <a:noFill/>
        <a:ln w="9525">
          <a:noFill/>
          <a:miter lim="800000"/>
          <a:headEnd/>
          <a:tailEnd/>
        </a:ln>
      </xdr:spPr>
    </xdr:pic>
    <xdr:clientData/>
  </xdr:twoCellAnchor>
  <xdr:twoCellAnchor editAs="oneCell">
    <xdr:from>
      <xdr:col>5</xdr:col>
      <xdr:colOff>152400</xdr:colOff>
      <xdr:row>33</xdr:row>
      <xdr:rowOff>47625</xdr:rowOff>
    </xdr:from>
    <xdr:to>
      <xdr:col>5</xdr:col>
      <xdr:colOff>1562100</xdr:colOff>
      <xdr:row>33</xdr:row>
      <xdr:rowOff>533400</xdr:rowOff>
    </xdr:to>
    <xdr:pic>
      <xdr:nvPicPr>
        <xdr:cNvPr id="3279549" name="Picture 167"/>
        <xdr:cNvPicPr>
          <a:picLocks noChangeAspect="1" noChangeArrowheads="1"/>
        </xdr:cNvPicPr>
      </xdr:nvPicPr>
      <xdr:blipFill>
        <a:blip xmlns:r="http://schemas.openxmlformats.org/officeDocument/2006/relationships" r:embed="rId17"/>
        <a:srcRect/>
        <a:stretch>
          <a:fillRect/>
        </a:stretch>
      </xdr:blipFill>
      <xdr:spPr bwMode="auto">
        <a:xfrm>
          <a:off x="7629525" y="12239625"/>
          <a:ext cx="1409700" cy="485775"/>
        </a:xfrm>
        <a:prstGeom prst="rect">
          <a:avLst/>
        </a:prstGeom>
        <a:noFill/>
        <a:ln w="9525">
          <a:noFill/>
          <a:miter lim="800000"/>
          <a:headEnd/>
          <a:tailEnd/>
        </a:ln>
      </xdr:spPr>
    </xdr:pic>
    <xdr:clientData/>
  </xdr:twoCellAnchor>
  <xdr:twoCellAnchor editAs="oneCell">
    <xdr:from>
      <xdr:col>5</xdr:col>
      <xdr:colOff>171450</xdr:colOff>
      <xdr:row>31</xdr:row>
      <xdr:rowOff>47625</xdr:rowOff>
    </xdr:from>
    <xdr:to>
      <xdr:col>5</xdr:col>
      <xdr:colOff>1476375</xdr:colOff>
      <xdr:row>31</xdr:row>
      <xdr:rowOff>533400</xdr:rowOff>
    </xdr:to>
    <xdr:pic>
      <xdr:nvPicPr>
        <xdr:cNvPr id="3279550" name="Picture 177"/>
        <xdr:cNvPicPr>
          <a:picLocks noChangeAspect="1" noChangeArrowheads="1"/>
        </xdr:cNvPicPr>
      </xdr:nvPicPr>
      <xdr:blipFill>
        <a:blip xmlns:r="http://schemas.openxmlformats.org/officeDocument/2006/relationships" r:embed="rId18"/>
        <a:srcRect/>
        <a:stretch>
          <a:fillRect/>
        </a:stretch>
      </xdr:blipFill>
      <xdr:spPr bwMode="auto">
        <a:xfrm>
          <a:off x="7648575" y="11001375"/>
          <a:ext cx="1304925" cy="485775"/>
        </a:xfrm>
        <a:prstGeom prst="rect">
          <a:avLst/>
        </a:prstGeom>
        <a:noFill/>
        <a:ln w="9525">
          <a:noFill/>
          <a:miter lim="800000"/>
          <a:headEnd/>
          <a:tailEnd/>
        </a:ln>
      </xdr:spPr>
    </xdr:pic>
    <xdr:clientData/>
  </xdr:twoCellAnchor>
  <xdr:twoCellAnchor editAs="oneCell">
    <xdr:from>
      <xdr:col>1</xdr:col>
      <xdr:colOff>28575</xdr:colOff>
      <xdr:row>6</xdr:row>
      <xdr:rowOff>57150</xdr:rowOff>
    </xdr:from>
    <xdr:to>
      <xdr:col>1</xdr:col>
      <xdr:colOff>2190750</xdr:colOff>
      <xdr:row>6</xdr:row>
      <xdr:rowOff>647700</xdr:rowOff>
    </xdr:to>
    <xdr:pic>
      <xdr:nvPicPr>
        <xdr:cNvPr id="3279551" name="Рисунок 54" descr="20х15.jpg"/>
        <xdr:cNvPicPr>
          <a:picLocks noChangeAspect="1"/>
        </xdr:cNvPicPr>
      </xdr:nvPicPr>
      <xdr:blipFill>
        <a:blip xmlns:r="http://schemas.openxmlformats.org/officeDocument/2006/relationships" r:embed="rId19"/>
        <a:srcRect/>
        <a:stretch>
          <a:fillRect/>
        </a:stretch>
      </xdr:blipFill>
      <xdr:spPr bwMode="auto">
        <a:xfrm>
          <a:off x="2514600" y="2752725"/>
          <a:ext cx="2162175" cy="590550"/>
        </a:xfrm>
        <a:prstGeom prst="rect">
          <a:avLst/>
        </a:prstGeom>
        <a:noFill/>
        <a:ln w="9525">
          <a:noFill/>
          <a:miter lim="800000"/>
          <a:headEnd/>
          <a:tailEnd/>
        </a:ln>
      </xdr:spPr>
    </xdr:pic>
    <xdr:clientData/>
  </xdr:twoCellAnchor>
  <xdr:twoCellAnchor editAs="oneCell">
    <xdr:from>
      <xdr:col>1</xdr:col>
      <xdr:colOff>85725</xdr:colOff>
      <xdr:row>4</xdr:row>
      <xdr:rowOff>66675</xdr:rowOff>
    </xdr:from>
    <xdr:to>
      <xdr:col>1</xdr:col>
      <xdr:colOff>1400175</xdr:colOff>
      <xdr:row>4</xdr:row>
      <xdr:rowOff>762000</xdr:rowOff>
    </xdr:to>
    <xdr:pic>
      <xdr:nvPicPr>
        <xdr:cNvPr id="3279552" name="Рисунок 55" descr="с лого (1).jpg"/>
        <xdr:cNvPicPr>
          <a:picLocks noChangeAspect="1"/>
        </xdr:cNvPicPr>
      </xdr:nvPicPr>
      <xdr:blipFill>
        <a:blip xmlns:r="http://schemas.openxmlformats.org/officeDocument/2006/relationships" r:embed="rId20"/>
        <a:srcRect/>
        <a:stretch>
          <a:fillRect/>
        </a:stretch>
      </xdr:blipFill>
      <xdr:spPr bwMode="auto">
        <a:xfrm>
          <a:off x="2571750" y="1114425"/>
          <a:ext cx="1314450" cy="695325"/>
        </a:xfrm>
        <a:prstGeom prst="rect">
          <a:avLst/>
        </a:prstGeom>
        <a:noFill/>
        <a:ln w="9525">
          <a:solidFill>
            <a:srgbClr val="000000"/>
          </a:solidFill>
          <a:miter lim="800000"/>
          <a:headEnd/>
          <a:tailEnd/>
        </a:ln>
      </xdr:spPr>
    </xdr:pic>
    <xdr:clientData/>
  </xdr:twoCellAnchor>
  <xdr:twoCellAnchor editAs="oneCell">
    <xdr:from>
      <xdr:col>1</xdr:col>
      <xdr:colOff>66675</xdr:colOff>
      <xdr:row>7</xdr:row>
      <xdr:rowOff>47625</xdr:rowOff>
    </xdr:from>
    <xdr:to>
      <xdr:col>1</xdr:col>
      <xdr:colOff>1485900</xdr:colOff>
      <xdr:row>8</xdr:row>
      <xdr:rowOff>304800</xdr:rowOff>
    </xdr:to>
    <xdr:pic>
      <xdr:nvPicPr>
        <xdr:cNvPr id="3279553" name="Рисунок 56" descr="figurnaya-5005-new-gal.jpg"/>
        <xdr:cNvPicPr>
          <a:picLocks noChangeAspect="1"/>
        </xdr:cNvPicPr>
      </xdr:nvPicPr>
      <xdr:blipFill>
        <a:blip xmlns:r="http://schemas.openxmlformats.org/officeDocument/2006/relationships" r:embed="rId21"/>
        <a:srcRect/>
        <a:stretch>
          <a:fillRect/>
        </a:stretch>
      </xdr:blipFill>
      <xdr:spPr bwMode="auto">
        <a:xfrm>
          <a:off x="2552700" y="3457575"/>
          <a:ext cx="1419225" cy="752475"/>
        </a:xfrm>
        <a:prstGeom prst="rect">
          <a:avLst/>
        </a:prstGeom>
        <a:noFill/>
        <a:ln w="9525">
          <a:noFill/>
          <a:miter lim="800000"/>
          <a:headEnd/>
          <a:tailEnd/>
        </a:ln>
      </xdr:spPr>
    </xdr:pic>
    <xdr:clientData/>
  </xdr:twoCellAnchor>
  <xdr:twoCellAnchor editAs="oneCell">
    <xdr:from>
      <xdr:col>6</xdr:col>
      <xdr:colOff>1504950</xdr:colOff>
      <xdr:row>4</xdr:row>
      <xdr:rowOff>38100</xdr:rowOff>
    </xdr:from>
    <xdr:to>
      <xdr:col>6</xdr:col>
      <xdr:colOff>2266950</xdr:colOff>
      <xdr:row>4</xdr:row>
      <xdr:rowOff>800100</xdr:rowOff>
    </xdr:to>
    <xdr:pic>
      <xdr:nvPicPr>
        <xdr:cNvPr id="3279554" name="Рисунок 57" descr="номер.jpg"/>
        <xdr:cNvPicPr>
          <a:picLocks noChangeAspect="1"/>
        </xdr:cNvPicPr>
      </xdr:nvPicPr>
      <xdr:blipFill>
        <a:blip xmlns:r="http://schemas.openxmlformats.org/officeDocument/2006/relationships" r:embed="rId22"/>
        <a:srcRect/>
        <a:stretch>
          <a:fillRect/>
        </a:stretch>
      </xdr:blipFill>
      <xdr:spPr bwMode="auto">
        <a:xfrm>
          <a:off x="11001375" y="1085850"/>
          <a:ext cx="762000" cy="762000"/>
        </a:xfrm>
        <a:prstGeom prst="rect">
          <a:avLst/>
        </a:prstGeom>
        <a:noFill/>
        <a:ln w="9525">
          <a:noFill/>
          <a:miter lim="800000"/>
          <a:headEnd/>
          <a:tailEnd/>
        </a:ln>
      </xdr:spPr>
    </xdr:pic>
    <xdr:clientData/>
  </xdr:twoCellAnchor>
  <xdr:twoCellAnchor editAs="oneCell">
    <xdr:from>
      <xdr:col>5</xdr:col>
      <xdr:colOff>200025</xdr:colOff>
      <xdr:row>22</xdr:row>
      <xdr:rowOff>38100</xdr:rowOff>
    </xdr:from>
    <xdr:to>
      <xdr:col>5</xdr:col>
      <xdr:colOff>1571625</xdr:colOff>
      <xdr:row>23</xdr:row>
      <xdr:rowOff>114300</xdr:rowOff>
    </xdr:to>
    <xdr:pic>
      <xdr:nvPicPr>
        <xdr:cNvPr id="3279555" name="Picture 111"/>
        <xdr:cNvPicPr>
          <a:picLocks noChangeAspect="1" noChangeArrowheads="1"/>
        </xdr:cNvPicPr>
      </xdr:nvPicPr>
      <xdr:blipFill>
        <a:blip xmlns:r="http://schemas.openxmlformats.org/officeDocument/2006/relationships" r:embed="rId23"/>
        <a:srcRect/>
        <a:stretch>
          <a:fillRect/>
        </a:stretch>
      </xdr:blipFill>
      <xdr:spPr bwMode="auto">
        <a:xfrm>
          <a:off x="7677150" y="7886700"/>
          <a:ext cx="1371600" cy="400050"/>
        </a:xfrm>
        <a:prstGeom prst="rect">
          <a:avLst/>
        </a:prstGeom>
        <a:noFill/>
        <a:ln w="9525">
          <a:noFill/>
          <a:miter lim="800000"/>
          <a:headEnd/>
          <a:tailEnd/>
        </a:ln>
      </xdr:spPr>
    </xdr:pic>
    <xdr:clientData/>
  </xdr:twoCellAnchor>
  <xdr:twoCellAnchor editAs="oneCell">
    <xdr:from>
      <xdr:col>5</xdr:col>
      <xdr:colOff>133350</xdr:colOff>
      <xdr:row>32</xdr:row>
      <xdr:rowOff>114300</xdr:rowOff>
    </xdr:from>
    <xdr:to>
      <xdr:col>5</xdr:col>
      <xdr:colOff>1562100</xdr:colOff>
      <xdr:row>32</xdr:row>
      <xdr:rowOff>561975</xdr:rowOff>
    </xdr:to>
    <xdr:pic>
      <xdr:nvPicPr>
        <xdr:cNvPr id="3279556" name="Picture 181"/>
        <xdr:cNvPicPr>
          <a:picLocks noChangeAspect="1" noChangeArrowheads="1"/>
        </xdr:cNvPicPr>
      </xdr:nvPicPr>
      <xdr:blipFill>
        <a:blip xmlns:r="http://schemas.openxmlformats.org/officeDocument/2006/relationships" r:embed="rId24"/>
        <a:srcRect/>
        <a:stretch>
          <a:fillRect/>
        </a:stretch>
      </xdr:blipFill>
      <xdr:spPr bwMode="auto">
        <a:xfrm>
          <a:off x="7610475" y="11687175"/>
          <a:ext cx="1428750" cy="447675"/>
        </a:xfrm>
        <a:prstGeom prst="rect">
          <a:avLst/>
        </a:prstGeom>
        <a:noFill/>
        <a:ln w="9525">
          <a:noFill/>
          <a:miter lim="800000"/>
          <a:headEnd/>
          <a:tailEnd/>
        </a:ln>
      </xdr:spPr>
    </xdr:pic>
    <xdr:clientData/>
  </xdr:twoCellAnchor>
  <xdr:twoCellAnchor editAs="oneCell">
    <xdr:from>
      <xdr:col>6</xdr:col>
      <xdr:colOff>371475</xdr:colOff>
      <xdr:row>5</xdr:row>
      <xdr:rowOff>9525</xdr:rowOff>
    </xdr:from>
    <xdr:to>
      <xdr:col>6</xdr:col>
      <xdr:colOff>1676400</xdr:colOff>
      <xdr:row>6</xdr:row>
      <xdr:rowOff>190500</xdr:rowOff>
    </xdr:to>
    <xdr:pic>
      <xdr:nvPicPr>
        <xdr:cNvPr id="3279557" name="Рисунок 66" descr="инф.jpg"/>
        <xdr:cNvPicPr>
          <a:picLocks noChangeAspect="1"/>
        </xdr:cNvPicPr>
      </xdr:nvPicPr>
      <xdr:blipFill>
        <a:blip xmlns:r="http://schemas.openxmlformats.org/officeDocument/2006/relationships" r:embed="rId25"/>
        <a:srcRect/>
        <a:stretch>
          <a:fillRect/>
        </a:stretch>
      </xdr:blipFill>
      <xdr:spPr bwMode="auto">
        <a:xfrm>
          <a:off x="9867900" y="1885950"/>
          <a:ext cx="1304925" cy="1000125"/>
        </a:xfrm>
        <a:prstGeom prst="rect">
          <a:avLst/>
        </a:prstGeom>
        <a:noFill/>
        <a:ln w="9525">
          <a:noFill/>
          <a:miter lim="800000"/>
          <a:headEnd/>
          <a:tailEnd/>
        </a:ln>
      </xdr:spPr>
    </xdr:pic>
    <xdr:clientData/>
  </xdr:twoCellAnchor>
  <xdr:twoCellAnchor editAs="oneCell">
    <xdr:from>
      <xdr:col>6</xdr:col>
      <xdr:colOff>2114550</xdr:colOff>
      <xdr:row>5</xdr:row>
      <xdr:rowOff>219075</xdr:rowOff>
    </xdr:from>
    <xdr:to>
      <xdr:col>6</xdr:col>
      <xdr:colOff>3209925</xdr:colOff>
      <xdr:row>7</xdr:row>
      <xdr:rowOff>152400</xdr:rowOff>
    </xdr:to>
    <xdr:pic>
      <xdr:nvPicPr>
        <xdr:cNvPr id="3279558" name="Рисунок 1"/>
        <xdr:cNvPicPr>
          <a:picLocks noChangeAspect="1"/>
        </xdr:cNvPicPr>
      </xdr:nvPicPr>
      <xdr:blipFill>
        <a:blip xmlns:r="http://schemas.openxmlformats.org/officeDocument/2006/relationships" r:embed="rId26" cstate="print"/>
        <a:srcRect/>
        <a:stretch>
          <a:fillRect/>
        </a:stretch>
      </xdr:blipFill>
      <xdr:spPr bwMode="auto">
        <a:xfrm>
          <a:off x="11610975" y="2095500"/>
          <a:ext cx="1095375" cy="1466850"/>
        </a:xfrm>
        <a:prstGeom prst="rect">
          <a:avLst/>
        </a:prstGeom>
        <a:noFill/>
        <a:ln w="9525">
          <a:noFill/>
          <a:miter lim="800000"/>
          <a:headEnd/>
          <a:tailEnd/>
        </a:ln>
      </xdr:spPr>
    </xdr:pic>
    <xdr:clientData/>
  </xdr:twoCellAnchor>
  <xdr:twoCellAnchor editAs="oneCell">
    <xdr:from>
      <xdr:col>6</xdr:col>
      <xdr:colOff>409575</xdr:colOff>
      <xdr:row>6</xdr:row>
      <xdr:rowOff>219075</xdr:rowOff>
    </xdr:from>
    <xdr:to>
      <xdr:col>6</xdr:col>
      <xdr:colOff>1628775</xdr:colOff>
      <xdr:row>7</xdr:row>
      <xdr:rowOff>409575</xdr:rowOff>
    </xdr:to>
    <xdr:pic>
      <xdr:nvPicPr>
        <xdr:cNvPr id="3279559" name="Рисунок 2"/>
        <xdr:cNvPicPr>
          <a:picLocks noChangeAspect="1"/>
        </xdr:cNvPicPr>
      </xdr:nvPicPr>
      <xdr:blipFill>
        <a:blip xmlns:r="http://schemas.openxmlformats.org/officeDocument/2006/relationships" r:embed="rId27"/>
        <a:srcRect/>
        <a:stretch>
          <a:fillRect/>
        </a:stretch>
      </xdr:blipFill>
      <xdr:spPr bwMode="auto">
        <a:xfrm>
          <a:off x="9906000" y="2914650"/>
          <a:ext cx="1219200" cy="904875"/>
        </a:xfrm>
        <a:prstGeom prst="rect">
          <a:avLst/>
        </a:prstGeom>
        <a:noFill/>
        <a:ln w="9525">
          <a:noFill/>
          <a:miter lim="800000"/>
          <a:headEnd/>
          <a:tailEnd/>
        </a:ln>
      </xdr:spPr>
    </xdr:pic>
    <xdr:clientData/>
  </xdr:twoCellAnchor>
  <xdr:twoCellAnchor editAs="oneCell">
    <xdr:from>
      <xdr:col>1</xdr:col>
      <xdr:colOff>38100</xdr:colOff>
      <xdr:row>5</xdr:row>
      <xdr:rowOff>38100</xdr:rowOff>
    </xdr:from>
    <xdr:to>
      <xdr:col>1</xdr:col>
      <xdr:colOff>1419225</xdr:colOff>
      <xdr:row>5</xdr:row>
      <xdr:rowOff>742950</xdr:rowOff>
    </xdr:to>
    <xdr:pic>
      <xdr:nvPicPr>
        <xdr:cNvPr id="3279560" name="Picture 4"/>
        <xdr:cNvPicPr>
          <a:picLocks noChangeAspect="1" noChangeArrowheads="1"/>
        </xdr:cNvPicPr>
      </xdr:nvPicPr>
      <xdr:blipFill>
        <a:blip xmlns:r="http://schemas.openxmlformats.org/officeDocument/2006/relationships" r:embed="rId28"/>
        <a:srcRect/>
        <a:stretch>
          <a:fillRect/>
        </a:stretch>
      </xdr:blipFill>
      <xdr:spPr bwMode="auto">
        <a:xfrm>
          <a:off x="2524125" y="1914525"/>
          <a:ext cx="1381125" cy="704850"/>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1304925</xdr:colOff>
      <xdr:row>63</xdr:row>
      <xdr:rowOff>57150</xdr:rowOff>
    </xdr:from>
    <xdr:to>
      <xdr:col>0</xdr:col>
      <xdr:colOff>2581275</xdr:colOff>
      <xdr:row>65</xdr:row>
      <xdr:rowOff>9525</xdr:rowOff>
    </xdr:to>
    <xdr:pic>
      <xdr:nvPicPr>
        <xdr:cNvPr id="3176763" name="Рисунок 1"/>
        <xdr:cNvPicPr>
          <a:picLocks noChangeAspect="1"/>
        </xdr:cNvPicPr>
      </xdr:nvPicPr>
      <xdr:blipFill>
        <a:blip xmlns:r="http://schemas.openxmlformats.org/officeDocument/2006/relationships" r:embed="rId1"/>
        <a:srcRect/>
        <a:stretch>
          <a:fillRect/>
        </a:stretch>
      </xdr:blipFill>
      <xdr:spPr bwMode="auto">
        <a:xfrm>
          <a:off x="1304925" y="12439650"/>
          <a:ext cx="1276350" cy="400050"/>
        </a:xfrm>
        <a:prstGeom prst="rect">
          <a:avLst/>
        </a:prstGeom>
        <a:noFill/>
        <a:ln w="9525">
          <a:noFill/>
          <a:miter lim="800000"/>
          <a:headEnd/>
          <a:tailEnd/>
        </a:ln>
      </xdr:spPr>
    </xdr:pic>
    <xdr:clientData/>
  </xdr:twoCellAnchor>
  <xdr:twoCellAnchor editAs="oneCell">
    <xdr:from>
      <xdr:col>17</xdr:col>
      <xdr:colOff>514350</xdr:colOff>
      <xdr:row>63</xdr:row>
      <xdr:rowOff>85725</xdr:rowOff>
    </xdr:from>
    <xdr:to>
      <xdr:col>20</xdr:col>
      <xdr:colOff>57150</xdr:colOff>
      <xdr:row>65</xdr:row>
      <xdr:rowOff>219075</xdr:rowOff>
    </xdr:to>
    <xdr:pic>
      <xdr:nvPicPr>
        <xdr:cNvPr id="3176764" name="Рисунок 2" descr="1.png"/>
        <xdr:cNvPicPr>
          <a:picLocks noChangeAspect="1"/>
        </xdr:cNvPicPr>
      </xdr:nvPicPr>
      <xdr:blipFill>
        <a:blip xmlns:r="http://schemas.openxmlformats.org/officeDocument/2006/relationships" r:embed="rId2"/>
        <a:srcRect/>
        <a:stretch>
          <a:fillRect/>
        </a:stretch>
      </xdr:blipFill>
      <xdr:spPr bwMode="auto">
        <a:xfrm>
          <a:off x="14097000" y="12468225"/>
          <a:ext cx="1066800" cy="5810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1485900</xdr:colOff>
      <xdr:row>24</xdr:row>
      <xdr:rowOff>85725</xdr:rowOff>
    </xdr:from>
    <xdr:to>
      <xdr:col>0</xdr:col>
      <xdr:colOff>2581275</xdr:colOff>
      <xdr:row>26</xdr:row>
      <xdr:rowOff>152400</xdr:rowOff>
    </xdr:to>
    <xdr:pic>
      <xdr:nvPicPr>
        <xdr:cNvPr id="3296291" name="Picture 6"/>
        <xdr:cNvPicPr>
          <a:picLocks noChangeAspect="1" noChangeArrowheads="1"/>
        </xdr:cNvPicPr>
      </xdr:nvPicPr>
      <xdr:blipFill>
        <a:blip xmlns:r="http://schemas.openxmlformats.org/officeDocument/2006/relationships" r:embed="rId1"/>
        <a:srcRect/>
        <a:stretch>
          <a:fillRect/>
        </a:stretch>
      </xdr:blipFill>
      <xdr:spPr bwMode="auto">
        <a:xfrm>
          <a:off x="1485900" y="5638800"/>
          <a:ext cx="1095375" cy="438150"/>
        </a:xfrm>
        <a:prstGeom prst="rect">
          <a:avLst/>
        </a:prstGeom>
        <a:noFill/>
        <a:ln w="9525">
          <a:noFill/>
          <a:miter lim="800000"/>
          <a:headEnd/>
          <a:tailEnd/>
        </a:ln>
      </xdr:spPr>
    </xdr:pic>
    <xdr:clientData/>
  </xdr:twoCellAnchor>
  <xdr:twoCellAnchor editAs="oneCell">
    <xdr:from>
      <xdr:col>0</xdr:col>
      <xdr:colOff>1400175</xdr:colOff>
      <xdr:row>31</xdr:row>
      <xdr:rowOff>57150</xdr:rowOff>
    </xdr:from>
    <xdr:to>
      <xdr:col>0</xdr:col>
      <xdr:colOff>2609850</xdr:colOff>
      <xdr:row>33</xdr:row>
      <xdr:rowOff>171450</xdr:rowOff>
    </xdr:to>
    <xdr:pic>
      <xdr:nvPicPr>
        <xdr:cNvPr id="3296292" name="Picture 8"/>
        <xdr:cNvPicPr>
          <a:picLocks noChangeAspect="1" noChangeArrowheads="1"/>
        </xdr:cNvPicPr>
      </xdr:nvPicPr>
      <xdr:blipFill>
        <a:blip xmlns:r="http://schemas.openxmlformats.org/officeDocument/2006/relationships" r:embed="rId2"/>
        <a:srcRect/>
        <a:stretch>
          <a:fillRect/>
        </a:stretch>
      </xdr:blipFill>
      <xdr:spPr bwMode="auto">
        <a:xfrm>
          <a:off x="1400175" y="6848475"/>
          <a:ext cx="1209675" cy="485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18</xdr:row>
      <xdr:rowOff>85725</xdr:rowOff>
    </xdr:from>
    <xdr:to>
      <xdr:col>0</xdr:col>
      <xdr:colOff>1952625</xdr:colOff>
      <xdr:row>25</xdr:row>
      <xdr:rowOff>161925</xdr:rowOff>
    </xdr:to>
    <xdr:pic>
      <xdr:nvPicPr>
        <xdr:cNvPr id="3282009" name="Picture 171" descr="Рисунок1"/>
        <xdr:cNvPicPr>
          <a:picLocks noChangeAspect="1" noChangeArrowheads="1"/>
        </xdr:cNvPicPr>
      </xdr:nvPicPr>
      <xdr:blipFill>
        <a:blip xmlns:r="http://schemas.openxmlformats.org/officeDocument/2006/relationships" r:embed="rId1"/>
        <a:srcRect/>
        <a:stretch>
          <a:fillRect/>
        </a:stretch>
      </xdr:blipFill>
      <xdr:spPr bwMode="auto">
        <a:xfrm>
          <a:off x="85725" y="4733925"/>
          <a:ext cx="1866900" cy="1590675"/>
        </a:xfrm>
        <a:prstGeom prst="rect">
          <a:avLst/>
        </a:prstGeom>
        <a:noFill/>
        <a:ln w="9525">
          <a:noFill/>
          <a:miter lim="800000"/>
          <a:headEnd/>
          <a:tailEnd/>
        </a:ln>
      </xdr:spPr>
    </xdr:pic>
    <xdr:clientData/>
  </xdr:twoCellAnchor>
  <xdr:twoCellAnchor editAs="oneCell">
    <xdr:from>
      <xdr:col>0</xdr:col>
      <xdr:colOff>628650</xdr:colOff>
      <xdr:row>40</xdr:row>
      <xdr:rowOff>104775</xdr:rowOff>
    </xdr:from>
    <xdr:to>
      <xdr:col>0</xdr:col>
      <xdr:colOff>1323975</xdr:colOff>
      <xdr:row>44</xdr:row>
      <xdr:rowOff>228600</xdr:rowOff>
    </xdr:to>
    <xdr:pic>
      <xdr:nvPicPr>
        <xdr:cNvPr id="3282010" name="Picture 184"/>
        <xdr:cNvPicPr>
          <a:picLocks noChangeAspect="1" noChangeArrowheads="1"/>
        </xdr:cNvPicPr>
      </xdr:nvPicPr>
      <xdr:blipFill>
        <a:blip xmlns:r="http://schemas.openxmlformats.org/officeDocument/2006/relationships" r:embed="rId2"/>
        <a:srcRect/>
        <a:stretch>
          <a:fillRect/>
        </a:stretch>
      </xdr:blipFill>
      <xdr:spPr bwMode="auto">
        <a:xfrm>
          <a:off x="628650" y="9420225"/>
          <a:ext cx="695325" cy="1190625"/>
        </a:xfrm>
        <a:prstGeom prst="rect">
          <a:avLst/>
        </a:prstGeom>
        <a:noFill/>
        <a:ln w="9525">
          <a:noFill/>
          <a:miter lim="800000"/>
          <a:headEnd/>
          <a:tailEnd/>
        </a:ln>
      </xdr:spPr>
    </xdr:pic>
    <xdr:clientData/>
  </xdr:twoCellAnchor>
  <xdr:twoCellAnchor editAs="oneCell">
    <xdr:from>
      <xdr:col>0</xdr:col>
      <xdr:colOff>342900</xdr:colOff>
      <xdr:row>30</xdr:row>
      <xdr:rowOff>66675</xdr:rowOff>
    </xdr:from>
    <xdr:to>
      <xdr:col>0</xdr:col>
      <xdr:colOff>1685925</xdr:colOff>
      <xdr:row>39</xdr:row>
      <xdr:rowOff>19050</xdr:rowOff>
    </xdr:to>
    <xdr:pic>
      <xdr:nvPicPr>
        <xdr:cNvPr id="3282011" name="Picture 2345"/>
        <xdr:cNvPicPr>
          <a:picLocks noChangeAspect="1" noChangeArrowheads="1"/>
        </xdr:cNvPicPr>
      </xdr:nvPicPr>
      <xdr:blipFill>
        <a:blip xmlns:r="http://schemas.openxmlformats.org/officeDocument/2006/relationships" r:embed="rId3"/>
        <a:srcRect/>
        <a:stretch>
          <a:fillRect/>
        </a:stretch>
      </xdr:blipFill>
      <xdr:spPr bwMode="auto">
        <a:xfrm>
          <a:off x="342900" y="7562850"/>
          <a:ext cx="1343025" cy="1581150"/>
        </a:xfrm>
        <a:prstGeom prst="rect">
          <a:avLst/>
        </a:prstGeom>
        <a:noFill/>
        <a:ln w="9525">
          <a:noFill/>
          <a:miter lim="800000"/>
          <a:headEnd/>
          <a:tailEnd/>
        </a:ln>
      </xdr:spPr>
    </xdr:pic>
    <xdr:clientData/>
  </xdr:twoCellAnchor>
  <xdr:twoCellAnchor editAs="oneCell">
    <xdr:from>
      <xdr:col>0</xdr:col>
      <xdr:colOff>381000</xdr:colOff>
      <xdr:row>8</xdr:row>
      <xdr:rowOff>9525</xdr:rowOff>
    </xdr:from>
    <xdr:to>
      <xdr:col>0</xdr:col>
      <xdr:colOff>1752600</xdr:colOff>
      <xdr:row>12</xdr:row>
      <xdr:rowOff>228600</xdr:rowOff>
    </xdr:to>
    <xdr:pic>
      <xdr:nvPicPr>
        <xdr:cNvPr id="3282012" name="Рисунок 5"/>
        <xdr:cNvPicPr>
          <a:picLocks noChangeAspect="1"/>
        </xdr:cNvPicPr>
      </xdr:nvPicPr>
      <xdr:blipFill>
        <a:blip xmlns:r="http://schemas.openxmlformats.org/officeDocument/2006/relationships" r:embed="rId4"/>
        <a:srcRect/>
        <a:stretch>
          <a:fillRect/>
        </a:stretch>
      </xdr:blipFill>
      <xdr:spPr bwMode="auto">
        <a:xfrm>
          <a:off x="381000" y="2428875"/>
          <a:ext cx="1371600" cy="12096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48</xdr:row>
      <xdr:rowOff>76200</xdr:rowOff>
    </xdr:from>
    <xdr:to>
      <xdr:col>0</xdr:col>
      <xdr:colOff>1190625</xdr:colOff>
      <xdr:row>49</xdr:row>
      <xdr:rowOff>95250</xdr:rowOff>
    </xdr:to>
    <xdr:pic>
      <xdr:nvPicPr>
        <xdr:cNvPr id="3283693" name="Picture 143"/>
        <xdr:cNvPicPr>
          <a:picLocks noChangeAspect="1" noChangeArrowheads="1"/>
        </xdr:cNvPicPr>
      </xdr:nvPicPr>
      <xdr:blipFill>
        <a:blip xmlns:r="http://schemas.openxmlformats.org/officeDocument/2006/relationships" r:embed="rId1"/>
        <a:srcRect/>
        <a:stretch>
          <a:fillRect/>
        </a:stretch>
      </xdr:blipFill>
      <xdr:spPr bwMode="auto">
        <a:xfrm>
          <a:off x="276225" y="17868900"/>
          <a:ext cx="914400" cy="409575"/>
        </a:xfrm>
        <a:prstGeom prst="rect">
          <a:avLst/>
        </a:prstGeom>
        <a:noFill/>
        <a:ln w="9525">
          <a:noFill/>
          <a:round/>
          <a:headEnd/>
          <a:tailEnd/>
        </a:ln>
      </xdr:spPr>
    </xdr:pic>
    <xdr:clientData/>
  </xdr:twoCellAnchor>
  <xdr:twoCellAnchor editAs="oneCell">
    <xdr:from>
      <xdr:col>10</xdr:col>
      <xdr:colOff>609600</xdr:colOff>
      <xdr:row>25</xdr:row>
      <xdr:rowOff>47625</xdr:rowOff>
    </xdr:from>
    <xdr:to>
      <xdr:col>10</xdr:col>
      <xdr:colOff>1019175</xdr:colOff>
      <xdr:row>26</xdr:row>
      <xdr:rowOff>180975</xdr:rowOff>
    </xdr:to>
    <xdr:pic>
      <xdr:nvPicPr>
        <xdr:cNvPr id="3283694" name="Picture 156"/>
        <xdr:cNvPicPr>
          <a:picLocks noChangeAspect="1" noChangeArrowheads="1"/>
        </xdr:cNvPicPr>
      </xdr:nvPicPr>
      <xdr:blipFill>
        <a:blip xmlns:r="http://schemas.openxmlformats.org/officeDocument/2006/relationships" r:embed="rId2"/>
        <a:srcRect/>
        <a:stretch>
          <a:fillRect/>
        </a:stretch>
      </xdr:blipFill>
      <xdr:spPr bwMode="auto">
        <a:xfrm>
          <a:off x="11410950" y="7991475"/>
          <a:ext cx="409575" cy="514350"/>
        </a:xfrm>
        <a:prstGeom prst="rect">
          <a:avLst/>
        </a:prstGeom>
        <a:noFill/>
        <a:ln w="9525">
          <a:noFill/>
          <a:round/>
          <a:headEnd/>
          <a:tailEnd/>
        </a:ln>
      </xdr:spPr>
    </xdr:pic>
    <xdr:clientData/>
  </xdr:twoCellAnchor>
  <xdr:twoCellAnchor editAs="oneCell">
    <xdr:from>
      <xdr:col>10</xdr:col>
      <xdr:colOff>276225</xdr:colOff>
      <xdr:row>20</xdr:row>
      <xdr:rowOff>161925</xdr:rowOff>
    </xdr:from>
    <xdr:to>
      <xdr:col>10</xdr:col>
      <xdr:colOff>1447800</xdr:colOff>
      <xdr:row>22</xdr:row>
      <xdr:rowOff>114300</xdr:rowOff>
    </xdr:to>
    <xdr:pic>
      <xdr:nvPicPr>
        <xdr:cNvPr id="3283695" name="Picture 174"/>
        <xdr:cNvPicPr>
          <a:picLocks noChangeAspect="1" noChangeArrowheads="1"/>
        </xdr:cNvPicPr>
      </xdr:nvPicPr>
      <xdr:blipFill>
        <a:blip xmlns:r="http://schemas.openxmlformats.org/officeDocument/2006/relationships" r:embed="rId3"/>
        <a:srcRect/>
        <a:stretch>
          <a:fillRect/>
        </a:stretch>
      </xdr:blipFill>
      <xdr:spPr bwMode="auto">
        <a:xfrm>
          <a:off x="11077575" y="6619875"/>
          <a:ext cx="1171575" cy="428625"/>
        </a:xfrm>
        <a:prstGeom prst="rect">
          <a:avLst/>
        </a:prstGeom>
        <a:noFill/>
        <a:ln w="9525">
          <a:noFill/>
          <a:round/>
          <a:headEnd/>
          <a:tailEnd/>
        </a:ln>
      </xdr:spPr>
    </xdr:pic>
    <xdr:clientData/>
  </xdr:twoCellAnchor>
  <xdr:twoCellAnchor editAs="oneCell">
    <xdr:from>
      <xdr:col>10</xdr:col>
      <xdr:colOff>95250</xdr:colOff>
      <xdr:row>38</xdr:row>
      <xdr:rowOff>38100</xdr:rowOff>
    </xdr:from>
    <xdr:to>
      <xdr:col>10</xdr:col>
      <xdr:colOff>1628775</xdr:colOff>
      <xdr:row>39</xdr:row>
      <xdr:rowOff>95250</xdr:rowOff>
    </xdr:to>
    <xdr:pic>
      <xdr:nvPicPr>
        <xdr:cNvPr id="3283696" name="Рисунок 35"/>
        <xdr:cNvPicPr>
          <a:picLocks noChangeAspect="1" noChangeArrowheads="1"/>
        </xdr:cNvPicPr>
      </xdr:nvPicPr>
      <xdr:blipFill>
        <a:blip xmlns:r="http://schemas.openxmlformats.org/officeDocument/2006/relationships" r:embed="rId4"/>
        <a:srcRect/>
        <a:stretch>
          <a:fillRect/>
        </a:stretch>
      </xdr:blipFill>
      <xdr:spPr bwMode="auto">
        <a:xfrm>
          <a:off x="10896600" y="13696950"/>
          <a:ext cx="1533525" cy="609600"/>
        </a:xfrm>
        <a:prstGeom prst="rect">
          <a:avLst/>
        </a:prstGeom>
        <a:noFill/>
        <a:ln w="9525">
          <a:noFill/>
          <a:round/>
          <a:headEnd/>
          <a:tailEnd/>
        </a:ln>
      </xdr:spPr>
    </xdr:pic>
    <xdr:clientData/>
  </xdr:twoCellAnchor>
  <xdr:twoCellAnchor editAs="oneCell">
    <xdr:from>
      <xdr:col>10</xdr:col>
      <xdr:colOff>190500</xdr:colOff>
      <xdr:row>40</xdr:row>
      <xdr:rowOff>28575</xdr:rowOff>
    </xdr:from>
    <xdr:to>
      <xdr:col>10</xdr:col>
      <xdr:colOff>1428750</xdr:colOff>
      <xdr:row>40</xdr:row>
      <xdr:rowOff>457200</xdr:rowOff>
    </xdr:to>
    <xdr:pic>
      <xdr:nvPicPr>
        <xdr:cNvPr id="3283697" name="Рисунок 36"/>
        <xdr:cNvPicPr>
          <a:picLocks noChangeAspect="1" noChangeArrowheads="1"/>
        </xdr:cNvPicPr>
      </xdr:nvPicPr>
      <xdr:blipFill>
        <a:blip xmlns:r="http://schemas.openxmlformats.org/officeDocument/2006/relationships" r:embed="rId5"/>
        <a:srcRect/>
        <a:stretch>
          <a:fillRect/>
        </a:stretch>
      </xdr:blipFill>
      <xdr:spPr bwMode="auto">
        <a:xfrm>
          <a:off x="10991850" y="14573250"/>
          <a:ext cx="1238250" cy="428625"/>
        </a:xfrm>
        <a:prstGeom prst="rect">
          <a:avLst/>
        </a:prstGeom>
        <a:noFill/>
        <a:ln w="9525">
          <a:noFill/>
          <a:round/>
          <a:headEnd/>
          <a:tailEnd/>
        </a:ln>
      </xdr:spPr>
    </xdr:pic>
    <xdr:clientData/>
  </xdr:twoCellAnchor>
  <xdr:twoCellAnchor editAs="oneCell">
    <xdr:from>
      <xdr:col>10</xdr:col>
      <xdr:colOff>123825</xdr:colOff>
      <xdr:row>35</xdr:row>
      <xdr:rowOff>57150</xdr:rowOff>
    </xdr:from>
    <xdr:to>
      <xdr:col>10</xdr:col>
      <xdr:colOff>1590675</xdr:colOff>
      <xdr:row>38</xdr:row>
      <xdr:rowOff>180975</xdr:rowOff>
    </xdr:to>
    <xdr:pic>
      <xdr:nvPicPr>
        <xdr:cNvPr id="3283698" name="Рисунок 34"/>
        <xdr:cNvPicPr>
          <a:picLocks noChangeAspect="1" noChangeArrowheads="1"/>
        </xdr:cNvPicPr>
      </xdr:nvPicPr>
      <xdr:blipFill>
        <a:blip xmlns:r="http://schemas.openxmlformats.org/officeDocument/2006/relationships" r:embed="rId6"/>
        <a:srcRect/>
        <a:stretch>
          <a:fillRect/>
        </a:stretch>
      </xdr:blipFill>
      <xdr:spPr bwMode="auto">
        <a:xfrm>
          <a:off x="10925175" y="12887325"/>
          <a:ext cx="1466850" cy="952500"/>
        </a:xfrm>
        <a:prstGeom prst="rect">
          <a:avLst/>
        </a:prstGeom>
        <a:noFill/>
        <a:ln w="9525">
          <a:noFill/>
          <a:round/>
          <a:headEnd/>
          <a:tailEnd/>
        </a:ln>
      </xdr:spPr>
    </xdr:pic>
    <xdr:clientData/>
  </xdr:twoCellAnchor>
  <xdr:twoCellAnchor editAs="oneCell">
    <xdr:from>
      <xdr:col>0</xdr:col>
      <xdr:colOff>495300</xdr:colOff>
      <xdr:row>31</xdr:row>
      <xdr:rowOff>333375</xdr:rowOff>
    </xdr:from>
    <xdr:to>
      <xdr:col>0</xdr:col>
      <xdr:colOff>1104900</xdr:colOff>
      <xdr:row>33</xdr:row>
      <xdr:rowOff>38100</xdr:rowOff>
    </xdr:to>
    <xdr:pic>
      <xdr:nvPicPr>
        <xdr:cNvPr id="3283699" name="Picture 4590"/>
        <xdr:cNvPicPr>
          <a:picLocks noChangeAspect="1" noChangeArrowheads="1"/>
        </xdr:cNvPicPr>
      </xdr:nvPicPr>
      <xdr:blipFill>
        <a:blip xmlns:r="http://schemas.openxmlformats.org/officeDocument/2006/relationships" r:embed="rId7"/>
        <a:srcRect/>
        <a:stretch>
          <a:fillRect/>
        </a:stretch>
      </xdr:blipFill>
      <xdr:spPr bwMode="auto">
        <a:xfrm>
          <a:off x="495300" y="11344275"/>
          <a:ext cx="609600" cy="504825"/>
        </a:xfrm>
        <a:prstGeom prst="rect">
          <a:avLst/>
        </a:prstGeom>
        <a:noFill/>
        <a:ln w="9525">
          <a:noFill/>
          <a:round/>
          <a:headEnd/>
          <a:tailEnd/>
        </a:ln>
      </xdr:spPr>
    </xdr:pic>
    <xdr:clientData/>
  </xdr:twoCellAnchor>
  <xdr:twoCellAnchor editAs="oneCell">
    <xdr:from>
      <xdr:col>0</xdr:col>
      <xdr:colOff>542925</xdr:colOff>
      <xdr:row>33</xdr:row>
      <xdr:rowOff>295275</xdr:rowOff>
    </xdr:from>
    <xdr:to>
      <xdr:col>0</xdr:col>
      <xdr:colOff>1085850</xdr:colOff>
      <xdr:row>34</xdr:row>
      <xdr:rowOff>114300</xdr:rowOff>
    </xdr:to>
    <xdr:pic>
      <xdr:nvPicPr>
        <xdr:cNvPr id="3283700" name="Picture 4596"/>
        <xdr:cNvPicPr>
          <a:picLocks noChangeAspect="1" noChangeArrowheads="1"/>
        </xdr:cNvPicPr>
      </xdr:nvPicPr>
      <xdr:blipFill>
        <a:blip xmlns:r="http://schemas.openxmlformats.org/officeDocument/2006/relationships" r:embed="rId8"/>
        <a:srcRect/>
        <a:stretch>
          <a:fillRect/>
        </a:stretch>
      </xdr:blipFill>
      <xdr:spPr bwMode="auto">
        <a:xfrm>
          <a:off x="542925" y="12106275"/>
          <a:ext cx="542925" cy="476250"/>
        </a:xfrm>
        <a:prstGeom prst="rect">
          <a:avLst/>
        </a:prstGeom>
        <a:noFill/>
        <a:ln w="9525">
          <a:noFill/>
          <a:round/>
          <a:headEnd/>
          <a:tailEnd/>
        </a:ln>
      </xdr:spPr>
    </xdr:pic>
    <xdr:clientData/>
  </xdr:twoCellAnchor>
  <xdr:twoCellAnchor editAs="oneCell">
    <xdr:from>
      <xdr:col>0</xdr:col>
      <xdr:colOff>419100</xdr:colOff>
      <xdr:row>42</xdr:row>
      <xdr:rowOff>190500</xdr:rowOff>
    </xdr:from>
    <xdr:to>
      <xdr:col>0</xdr:col>
      <xdr:colOff>1114425</xdr:colOff>
      <xdr:row>43</xdr:row>
      <xdr:rowOff>257175</xdr:rowOff>
    </xdr:to>
    <xdr:pic>
      <xdr:nvPicPr>
        <xdr:cNvPr id="3283701" name="Picture 23"/>
        <xdr:cNvPicPr>
          <a:picLocks noChangeAspect="1" noChangeArrowheads="1"/>
        </xdr:cNvPicPr>
      </xdr:nvPicPr>
      <xdr:blipFill>
        <a:blip xmlns:r="http://schemas.openxmlformats.org/officeDocument/2006/relationships" r:embed="rId9"/>
        <a:srcRect/>
        <a:stretch>
          <a:fillRect/>
        </a:stretch>
      </xdr:blipFill>
      <xdr:spPr bwMode="auto">
        <a:xfrm>
          <a:off x="419100" y="15944850"/>
          <a:ext cx="695325" cy="419100"/>
        </a:xfrm>
        <a:prstGeom prst="rect">
          <a:avLst/>
        </a:prstGeom>
        <a:noFill/>
        <a:ln w="9525">
          <a:noFill/>
          <a:round/>
          <a:headEnd/>
          <a:tailEnd/>
        </a:ln>
      </xdr:spPr>
    </xdr:pic>
    <xdr:clientData/>
  </xdr:twoCellAnchor>
  <xdr:twoCellAnchor editAs="oneCell">
    <xdr:from>
      <xdr:col>0</xdr:col>
      <xdr:colOff>542925</xdr:colOff>
      <xdr:row>46</xdr:row>
      <xdr:rowOff>47625</xdr:rowOff>
    </xdr:from>
    <xdr:to>
      <xdr:col>0</xdr:col>
      <xdr:colOff>1038225</xdr:colOff>
      <xdr:row>47</xdr:row>
      <xdr:rowOff>323850</xdr:rowOff>
    </xdr:to>
    <xdr:pic>
      <xdr:nvPicPr>
        <xdr:cNvPr id="3283702" name="Picture 4592"/>
        <xdr:cNvPicPr>
          <a:picLocks noChangeAspect="1" noChangeArrowheads="1"/>
        </xdr:cNvPicPr>
      </xdr:nvPicPr>
      <xdr:blipFill>
        <a:blip xmlns:r="http://schemas.openxmlformats.org/officeDocument/2006/relationships" r:embed="rId10"/>
        <a:srcRect/>
        <a:stretch>
          <a:fillRect/>
        </a:stretch>
      </xdr:blipFill>
      <xdr:spPr bwMode="auto">
        <a:xfrm>
          <a:off x="542925" y="17278350"/>
          <a:ext cx="495300" cy="466725"/>
        </a:xfrm>
        <a:prstGeom prst="rect">
          <a:avLst/>
        </a:prstGeom>
        <a:noFill/>
        <a:ln w="9525">
          <a:noFill/>
          <a:round/>
          <a:headEnd/>
          <a:tailEnd/>
        </a:ln>
      </xdr:spPr>
    </xdr:pic>
    <xdr:clientData/>
  </xdr:twoCellAnchor>
  <xdr:twoCellAnchor editAs="oneCell">
    <xdr:from>
      <xdr:col>0</xdr:col>
      <xdr:colOff>523875</xdr:colOff>
      <xdr:row>44</xdr:row>
      <xdr:rowOff>104775</xdr:rowOff>
    </xdr:from>
    <xdr:to>
      <xdr:col>0</xdr:col>
      <xdr:colOff>1038225</xdr:colOff>
      <xdr:row>45</xdr:row>
      <xdr:rowOff>76200</xdr:rowOff>
    </xdr:to>
    <xdr:pic>
      <xdr:nvPicPr>
        <xdr:cNvPr id="3283703" name="Picture 4594"/>
        <xdr:cNvPicPr>
          <a:picLocks noChangeAspect="1" noChangeArrowheads="1"/>
        </xdr:cNvPicPr>
      </xdr:nvPicPr>
      <xdr:blipFill>
        <a:blip xmlns:r="http://schemas.openxmlformats.org/officeDocument/2006/relationships" r:embed="rId11"/>
        <a:srcRect/>
        <a:stretch>
          <a:fillRect/>
        </a:stretch>
      </xdr:blipFill>
      <xdr:spPr bwMode="auto">
        <a:xfrm>
          <a:off x="523875" y="16716375"/>
          <a:ext cx="514350" cy="400050"/>
        </a:xfrm>
        <a:prstGeom prst="rect">
          <a:avLst/>
        </a:prstGeom>
        <a:noFill/>
        <a:ln w="9525">
          <a:noFill/>
          <a:round/>
          <a:headEnd/>
          <a:tailEnd/>
        </a:ln>
      </xdr:spPr>
    </xdr:pic>
    <xdr:clientData/>
  </xdr:twoCellAnchor>
  <xdr:twoCellAnchor editAs="oneCell">
    <xdr:from>
      <xdr:col>0</xdr:col>
      <xdr:colOff>66675</xdr:colOff>
      <xdr:row>19</xdr:row>
      <xdr:rowOff>142875</xdr:rowOff>
    </xdr:from>
    <xdr:to>
      <xdr:col>0</xdr:col>
      <xdr:colOff>714375</xdr:colOff>
      <xdr:row>26</xdr:row>
      <xdr:rowOff>161925</xdr:rowOff>
    </xdr:to>
    <xdr:pic>
      <xdr:nvPicPr>
        <xdr:cNvPr id="3283704" name="Picture 140"/>
        <xdr:cNvPicPr>
          <a:picLocks noChangeAspect="1" noChangeArrowheads="1"/>
        </xdr:cNvPicPr>
      </xdr:nvPicPr>
      <xdr:blipFill>
        <a:blip xmlns:r="http://schemas.openxmlformats.org/officeDocument/2006/relationships" r:embed="rId12"/>
        <a:srcRect/>
        <a:stretch>
          <a:fillRect/>
        </a:stretch>
      </xdr:blipFill>
      <xdr:spPr bwMode="auto">
        <a:xfrm>
          <a:off x="66675" y="6362700"/>
          <a:ext cx="647700" cy="2124075"/>
        </a:xfrm>
        <a:prstGeom prst="rect">
          <a:avLst/>
        </a:prstGeom>
        <a:noFill/>
        <a:ln w="9525">
          <a:noFill/>
          <a:round/>
          <a:headEnd/>
          <a:tailEnd/>
        </a:ln>
      </xdr:spPr>
    </xdr:pic>
    <xdr:clientData/>
  </xdr:twoCellAnchor>
  <xdr:twoCellAnchor editAs="oneCell">
    <xdr:from>
      <xdr:col>0</xdr:col>
      <xdr:colOff>276225</xdr:colOff>
      <xdr:row>7</xdr:row>
      <xdr:rowOff>123825</xdr:rowOff>
    </xdr:from>
    <xdr:to>
      <xdr:col>0</xdr:col>
      <xdr:colOff>752475</xdr:colOff>
      <xdr:row>11</xdr:row>
      <xdr:rowOff>19050</xdr:rowOff>
    </xdr:to>
    <xdr:pic>
      <xdr:nvPicPr>
        <xdr:cNvPr id="3283705" name="Picture 10225"/>
        <xdr:cNvPicPr>
          <a:picLocks noChangeAspect="1" noChangeArrowheads="1"/>
        </xdr:cNvPicPr>
      </xdr:nvPicPr>
      <xdr:blipFill>
        <a:blip xmlns:r="http://schemas.openxmlformats.org/officeDocument/2006/relationships" r:embed="rId13"/>
        <a:srcRect/>
        <a:stretch>
          <a:fillRect/>
        </a:stretch>
      </xdr:blipFill>
      <xdr:spPr bwMode="auto">
        <a:xfrm>
          <a:off x="276225" y="2066925"/>
          <a:ext cx="476250" cy="1009650"/>
        </a:xfrm>
        <a:prstGeom prst="rect">
          <a:avLst/>
        </a:prstGeom>
        <a:noFill/>
        <a:ln w="9525">
          <a:noFill/>
          <a:round/>
          <a:headEnd/>
          <a:tailEnd/>
        </a:ln>
      </xdr:spPr>
    </xdr:pic>
    <xdr:clientData/>
  </xdr:twoCellAnchor>
  <xdr:twoCellAnchor editAs="oneCell">
    <xdr:from>
      <xdr:col>10</xdr:col>
      <xdr:colOff>142875</xdr:colOff>
      <xdr:row>28</xdr:row>
      <xdr:rowOff>190500</xdr:rowOff>
    </xdr:from>
    <xdr:to>
      <xdr:col>10</xdr:col>
      <xdr:colOff>1562100</xdr:colOff>
      <xdr:row>29</xdr:row>
      <xdr:rowOff>371475</xdr:rowOff>
    </xdr:to>
    <xdr:pic>
      <xdr:nvPicPr>
        <xdr:cNvPr id="3283706" name="Picture 1159"/>
        <xdr:cNvPicPr>
          <a:picLocks noChangeAspect="1" noChangeArrowheads="1"/>
        </xdr:cNvPicPr>
      </xdr:nvPicPr>
      <xdr:blipFill>
        <a:blip xmlns:r="http://schemas.openxmlformats.org/officeDocument/2006/relationships" r:embed="rId14"/>
        <a:srcRect/>
        <a:stretch>
          <a:fillRect/>
        </a:stretch>
      </xdr:blipFill>
      <xdr:spPr bwMode="auto">
        <a:xfrm>
          <a:off x="10944225" y="9991725"/>
          <a:ext cx="1419225" cy="495300"/>
        </a:xfrm>
        <a:prstGeom prst="rect">
          <a:avLst/>
        </a:prstGeom>
        <a:noFill/>
        <a:ln w="9525">
          <a:noFill/>
          <a:miter lim="800000"/>
          <a:headEnd/>
          <a:tailEnd/>
        </a:ln>
      </xdr:spPr>
    </xdr:pic>
    <xdr:clientData/>
  </xdr:twoCellAnchor>
  <xdr:twoCellAnchor editAs="oneCell">
    <xdr:from>
      <xdr:col>10</xdr:col>
      <xdr:colOff>676275</xdr:colOff>
      <xdr:row>33</xdr:row>
      <xdr:rowOff>57150</xdr:rowOff>
    </xdr:from>
    <xdr:to>
      <xdr:col>10</xdr:col>
      <xdr:colOff>1047750</xdr:colOff>
      <xdr:row>33</xdr:row>
      <xdr:rowOff>638175</xdr:rowOff>
    </xdr:to>
    <xdr:pic>
      <xdr:nvPicPr>
        <xdr:cNvPr id="3283707" name="Picture 9766"/>
        <xdr:cNvPicPr>
          <a:picLocks noChangeAspect="1" noChangeArrowheads="1"/>
        </xdr:cNvPicPr>
      </xdr:nvPicPr>
      <xdr:blipFill>
        <a:blip xmlns:r="http://schemas.openxmlformats.org/officeDocument/2006/relationships" r:embed="rId15"/>
        <a:srcRect/>
        <a:stretch>
          <a:fillRect/>
        </a:stretch>
      </xdr:blipFill>
      <xdr:spPr bwMode="auto">
        <a:xfrm>
          <a:off x="11477625" y="11868150"/>
          <a:ext cx="371475" cy="581025"/>
        </a:xfrm>
        <a:prstGeom prst="rect">
          <a:avLst/>
        </a:prstGeom>
        <a:noFill/>
        <a:ln w="9525">
          <a:noFill/>
          <a:miter lim="800000"/>
          <a:headEnd/>
          <a:tailEnd/>
        </a:ln>
      </xdr:spPr>
    </xdr:pic>
    <xdr:clientData/>
  </xdr:twoCellAnchor>
  <xdr:twoCellAnchor editAs="oneCell">
    <xdr:from>
      <xdr:col>10</xdr:col>
      <xdr:colOff>619125</xdr:colOff>
      <xdr:row>15</xdr:row>
      <xdr:rowOff>28575</xdr:rowOff>
    </xdr:from>
    <xdr:to>
      <xdr:col>10</xdr:col>
      <xdr:colOff>981075</xdr:colOff>
      <xdr:row>16</xdr:row>
      <xdr:rowOff>19050</xdr:rowOff>
    </xdr:to>
    <xdr:pic>
      <xdr:nvPicPr>
        <xdr:cNvPr id="3283708" name="Рисунок 36" descr="наконечник для уличного освещения.png"/>
        <xdr:cNvPicPr>
          <a:picLocks noChangeAspect="1"/>
        </xdr:cNvPicPr>
      </xdr:nvPicPr>
      <xdr:blipFill>
        <a:blip xmlns:r="http://schemas.openxmlformats.org/officeDocument/2006/relationships" r:embed="rId16"/>
        <a:srcRect/>
        <a:stretch>
          <a:fillRect/>
        </a:stretch>
      </xdr:blipFill>
      <xdr:spPr bwMode="auto">
        <a:xfrm>
          <a:off x="11420475" y="4772025"/>
          <a:ext cx="361950" cy="609600"/>
        </a:xfrm>
        <a:prstGeom prst="rect">
          <a:avLst/>
        </a:prstGeom>
        <a:noFill/>
        <a:ln w="9525">
          <a:noFill/>
          <a:miter lim="800000"/>
          <a:headEnd/>
          <a:tailEnd/>
        </a:ln>
      </xdr:spPr>
    </xdr:pic>
    <xdr:clientData/>
  </xdr:twoCellAnchor>
  <xdr:twoCellAnchor editAs="oneCell">
    <xdr:from>
      <xdr:col>10</xdr:col>
      <xdr:colOff>276225</xdr:colOff>
      <xdr:row>27</xdr:row>
      <xdr:rowOff>19050</xdr:rowOff>
    </xdr:from>
    <xdr:to>
      <xdr:col>10</xdr:col>
      <xdr:colOff>1257300</xdr:colOff>
      <xdr:row>27</xdr:row>
      <xdr:rowOff>438150</xdr:rowOff>
    </xdr:to>
    <xdr:pic>
      <xdr:nvPicPr>
        <xdr:cNvPr id="3283709" name="Рисунок 36"/>
        <xdr:cNvPicPr>
          <a:picLocks noChangeAspect="1"/>
        </xdr:cNvPicPr>
      </xdr:nvPicPr>
      <xdr:blipFill>
        <a:blip xmlns:r="http://schemas.openxmlformats.org/officeDocument/2006/relationships" r:embed="rId17"/>
        <a:srcRect/>
        <a:stretch>
          <a:fillRect/>
        </a:stretch>
      </xdr:blipFill>
      <xdr:spPr bwMode="auto">
        <a:xfrm>
          <a:off x="11077575" y="9344025"/>
          <a:ext cx="981075" cy="419100"/>
        </a:xfrm>
        <a:prstGeom prst="rect">
          <a:avLst/>
        </a:prstGeom>
        <a:noFill/>
        <a:ln w="9525">
          <a:noFill/>
          <a:miter lim="800000"/>
          <a:headEnd/>
          <a:tailEnd/>
        </a:ln>
      </xdr:spPr>
    </xdr:pic>
    <xdr:clientData/>
  </xdr:twoCellAnchor>
  <xdr:twoCellAnchor editAs="oneCell">
    <xdr:from>
      <xdr:col>10</xdr:col>
      <xdr:colOff>295275</xdr:colOff>
      <xdr:row>31</xdr:row>
      <xdr:rowOff>85725</xdr:rowOff>
    </xdr:from>
    <xdr:to>
      <xdr:col>10</xdr:col>
      <xdr:colOff>1438275</xdr:colOff>
      <xdr:row>32</xdr:row>
      <xdr:rowOff>104775</xdr:rowOff>
    </xdr:to>
    <xdr:pic>
      <xdr:nvPicPr>
        <xdr:cNvPr id="3283710" name="Picture 11028"/>
        <xdr:cNvPicPr>
          <a:picLocks noChangeAspect="1" noChangeArrowheads="1"/>
        </xdr:cNvPicPr>
      </xdr:nvPicPr>
      <xdr:blipFill>
        <a:blip xmlns:r="http://schemas.openxmlformats.org/officeDocument/2006/relationships" r:embed="rId18"/>
        <a:srcRect/>
        <a:stretch>
          <a:fillRect/>
        </a:stretch>
      </xdr:blipFill>
      <xdr:spPr bwMode="auto">
        <a:xfrm>
          <a:off x="11096625" y="11096625"/>
          <a:ext cx="1143000" cy="428625"/>
        </a:xfrm>
        <a:prstGeom prst="rect">
          <a:avLst/>
        </a:prstGeom>
        <a:noFill/>
        <a:ln w="9525">
          <a:noFill/>
          <a:miter lim="800000"/>
          <a:headEnd/>
          <a:tailEnd/>
        </a:ln>
      </xdr:spPr>
    </xdr:pic>
    <xdr:clientData/>
  </xdr:twoCellAnchor>
  <xdr:twoCellAnchor editAs="oneCell">
    <xdr:from>
      <xdr:col>0</xdr:col>
      <xdr:colOff>514350</xdr:colOff>
      <xdr:row>41</xdr:row>
      <xdr:rowOff>133350</xdr:rowOff>
    </xdr:from>
    <xdr:to>
      <xdr:col>0</xdr:col>
      <xdr:colOff>857250</xdr:colOff>
      <xdr:row>41</xdr:row>
      <xdr:rowOff>428625</xdr:rowOff>
    </xdr:to>
    <xdr:pic>
      <xdr:nvPicPr>
        <xdr:cNvPr id="3283711" name="Рисунок 39"/>
        <xdr:cNvPicPr>
          <a:picLocks noChangeAspect="1"/>
        </xdr:cNvPicPr>
      </xdr:nvPicPr>
      <xdr:blipFill>
        <a:blip xmlns:r="http://schemas.openxmlformats.org/officeDocument/2006/relationships" r:embed="rId19"/>
        <a:srcRect/>
        <a:stretch>
          <a:fillRect/>
        </a:stretch>
      </xdr:blipFill>
      <xdr:spPr bwMode="auto">
        <a:xfrm>
          <a:off x="514350" y="15316200"/>
          <a:ext cx="342900" cy="295275"/>
        </a:xfrm>
        <a:prstGeom prst="rect">
          <a:avLst/>
        </a:prstGeom>
        <a:noFill/>
        <a:ln w="9525">
          <a:noFill/>
          <a:miter lim="800000"/>
          <a:headEnd/>
          <a:tailEnd/>
        </a:ln>
      </xdr:spPr>
    </xdr:pic>
    <xdr:clientData/>
  </xdr:twoCellAnchor>
  <xdr:twoCellAnchor editAs="oneCell">
    <xdr:from>
      <xdr:col>0</xdr:col>
      <xdr:colOff>381000</xdr:colOff>
      <xdr:row>15</xdr:row>
      <xdr:rowOff>85725</xdr:rowOff>
    </xdr:from>
    <xdr:to>
      <xdr:col>0</xdr:col>
      <xdr:colOff>1143000</xdr:colOff>
      <xdr:row>15</xdr:row>
      <xdr:rowOff>504825</xdr:rowOff>
    </xdr:to>
    <xdr:pic>
      <xdr:nvPicPr>
        <xdr:cNvPr id="3283712" name="Picture 15173"/>
        <xdr:cNvPicPr>
          <a:picLocks noChangeAspect="1" noChangeArrowheads="1"/>
        </xdr:cNvPicPr>
      </xdr:nvPicPr>
      <xdr:blipFill>
        <a:blip xmlns:r="http://schemas.openxmlformats.org/officeDocument/2006/relationships" r:embed="rId20"/>
        <a:srcRect/>
        <a:stretch>
          <a:fillRect/>
        </a:stretch>
      </xdr:blipFill>
      <xdr:spPr bwMode="auto">
        <a:xfrm>
          <a:off x="381000" y="4829175"/>
          <a:ext cx="762000" cy="419100"/>
        </a:xfrm>
        <a:prstGeom prst="rect">
          <a:avLst/>
        </a:prstGeom>
        <a:noFill/>
        <a:ln w="9525">
          <a:noFill/>
          <a:miter lim="800000"/>
          <a:headEnd/>
          <a:tailEnd/>
        </a:ln>
      </xdr:spPr>
    </xdr:pic>
    <xdr:clientData/>
  </xdr:twoCellAnchor>
  <xdr:twoCellAnchor editAs="oneCell">
    <xdr:from>
      <xdr:col>5</xdr:col>
      <xdr:colOff>428625</xdr:colOff>
      <xdr:row>11</xdr:row>
      <xdr:rowOff>142875</xdr:rowOff>
    </xdr:from>
    <xdr:to>
      <xdr:col>7</xdr:col>
      <xdr:colOff>609600</xdr:colOff>
      <xdr:row>13</xdr:row>
      <xdr:rowOff>9525</xdr:rowOff>
    </xdr:to>
    <xdr:pic>
      <xdr:nvPicPr>
        <xdr:cNvPr id="3283713" name="Picture 16930"/>
        <xdr:cNvPicPr>
          <a:picLocks noChangeAspect="1" noChangeArrowheads="1"/>
        </xdr:cNvPicPr>
      </xdr:nvPicPr>
      <xdr:blipFill>
        <a:blip xmlns:r="http://schemas.openxmlformats.org/officeDocument/2006/relationships" r:embed="rId21"/>
        <a:srcRect/>
        <a:stretch>
          <a:fillRect/>
        </a:stretch>
      </xdr:blipFill>
      <xdr:spPr bwMode="auto">
        <a:xfrm>
          <a:off x="8210550" y="3200400"/>
          <a:ext cx="1533525" cy="371475"/>
        </a:xfrm>
        <a:prstGeom prst="rect">
          <a:avLst/>
        </a:prstGeom>
        <a:noFill/>
        <a:ln w="9525">
          <a:noFill/>
          <a:miter lim="800000"/>
          <a:headEnd/>
          <a:tailEnd/>
        </a:ln>
      </xdr:spPr>
    </xdr:pic>
    <xdr:clientData/>
  </xdr:twoCellAnchor>
  <xdr:twoCellAnchor editAs="oneCell">
    <xdr:from>
      <xdr:col>10</xdr:col>
      <xdr:colOff>523875</xdr:colOff>
      <xdr:row>14</xdr:row>
      <xdr:rowOff>104775</xdr:rowOff>
    </xdr:from>
    <xdr:to>
      <xdr:col>10</xdr:col>
      <xdr:colOff>1095375</xdr:colOff>
      <xdr:row>14</xdr:row>
      <xdr:rowOff>438150</xdr:rowOff>
    </xdr:to>
    <xdr:pic>
      <xdr:nvPicPr>
        <xdr:cNvPr id="3283714" name="Picture 16932"/>
        <xdr:cNvPicPr>
          <a:picLocks noChangeAspect="1" noChangeArrowheads="1"/>
        </xdr:cNvPicPr>
      </xdr:nvPicPr>
      <xdr:blipFill>
        <a:blip xmlns:r="http://schemas.openxmlformats.org/officeDocument/2006/relationships" r:embed="rId22"/>
        <a:srcRect/>
        <a:stretch>
          <a:fillRect/>
        </a:stretch>
      </xdr:blipFill>
      <xdr:spPr bwMode="auto">
        <a:xfrm>
          <a:off x="11325225" y="4314825"/>
          <a:ext cx="571500" cy="333375"/>
        </a:xfrm>
        <a:prstGeom prst="rect">
          <a:avLst/>
        </a:prstGeom>
        <a:noFill/>
        <a:ln w="9525">
          <a:noFill/>
          <a:miter lim="800000"/>
          <a:headEnd/>
          <a:tailEnd/>
        </a:ln>
      </xdr:spPr>
    </xdr:pic>
    <xdr:clientData/>
  </xdr:twoCellAnchor>
  <xdr:twoCellAnchor editAs="oneCell">
    <xdr:from>
      <xdr:col>0</xdr:col>
      <xdr:colOff>457200</xdr:colOff>
      <xdr:row>37</xdr:row>
      <xdr:rowOff>180975</xdr:rowOff>
    </xdr:from>
    <xdr:to>
      <xdr:col>0</xdr:col>
      <xdr:colOff>1171575</xdr:colOff>
      <xdr:row>38</xdr:row>
      <xdr:rowOff>514350</xdr:rowOff>
    </xdr:to>
    <xdr:pic>
      <xdr:nvPicPr>
        <xdr:cNvPr id="3283715" name="Picture 16934"/>
        <xdr:cNvPicPr>
          <a:picLocks noChangeAspect="1" noChangeArrowheads="1"/>
        </xdr:cNvPicPr>
      </xdr:nvPicPr>
      <xdr:blipFill>
        <a:blip xmlns:r="http://schemas.openxmlformats.org/officeDocument/2006/relationships" r:embed="rId23"/>
        <a:srcRect/>
        <a:stretch>
          <a:fillRect/>
        </a:stretch>
      </xdr:blipFill>
      <xdr:spPr bwMode="auto">
        <a:xfrm>
          <a:off x="457200" y="13525500"/>
          <a:ext cx="714375" cy="647700"/>
        </a:xfrm>
        <a:prstGeom prst="rect">
          <a:avLst/>
        </a:prstGeom>
        <a:noFill/>
        <a:ln w="9525">
          <a:noFill/>
          <a:miter lim="800000"/>
          <a:headEnd/>
          <a:tailEnd/>
        </a:ln>
      </xdr:spPr>
    </xdr:pic>
    <xdr:clientData/>
  </xdr:twoCellAnchor>
  <xdr:twoCellAnchor editAs="oneCell">
    <xdr:from>
      <xdr:col>10</xdr:col>
      <xdr:colOff>257175</xdr:colOff>
      <xdr:row>7</xdr:row>
      <xdr:rowOff>66675</xdr:rowOff>
    </xdr:from>
    <xdr:to>
      <xdr:col>10</xdr:col>
      <xdr:colOff>1390650</xdr:colOff>
      <xdr:row>7</xdr:row>
      <xdr:rowOff>457200</xdr:rowOff>
    </xdr:to>
    <xdr:pic>
      <xdr:nvPicPr>
        <xdr:cNvPr id="3283716" name="Picture 31417"/>
        <xdr:cNvPicPr>
          <a:picLocks noChangeAspect="1" noChangeArrowheads="1"/>
        </xdr:cNvPicPr>
      </xdr:nvPicPr>
      <xdr:blipFill>
        <a:blip xmlns:r="http://schemas.openxmlformats.org/officeDocument/2006/relationships" r:embed="rId24"/>
        <a:srcRect/>
        <a:stretch>
          <a:fillRect/>
        </a:stretch>
      </xdr:blipFill>
      <xdr:spPr bwMode="auto">
        <a:xfrm>
          <a:off x="11058525" y="2009775"/>
          <a:ext cx="1133475" cy="390525"/>
        </a:xfrm>
        <a:prstGeom prst="rect">
          <a:avLst/>
        </a:prstGeom>
        <a:noFill/>
        <a:ln w="9525">
          <a:noFill/>
          <a:miter lim="800000"/>
          <a:headEnd/>
          <a:tailEnd/>
        </a:ln>
      </xdr:spPr>
    </xdr:pic>
    <xdr:clientData/>
  </xdr:twoCellAnchor>
  <xdr:twoCellAnchor editAs="oneCell">
    <xdr:from>
      <xdr:col>10</xdr:col>
      <xdr:colOff>447675</xdr:colOff>
      <xdr:row>8</xdr:row>
      <xdr:rowOff>38100</xdr:rowOff>
    </xdr:from>
    <xdr:to>
      <xdr:col>10</xdr:col>
      <xdr:colOff>1200150</xdr:colOff>
      <xdr:row>10</xdr:row>
      <xdr:rowOff>123825</xdr:rowOff>
    </xdr:to>
    <xdr:pic>
      <xdr:nvPicPr>
        <xdr:cNvPr id="3283717" name="Picture 31419"/>
        <xdr:cNvPicPr>
          <a:picLocks noChangeAspect="1" noChangeArrowheads="1"/>
        </xdr:cNvPicPr>
      </xdr:nvPicPr>
      <xdr:blipFill>
        <a:blip xmlns:r="http://schemas.openxmlformats.org/officeDocument/2006/relationships" r:embed="rId25"/>
        <a:srcRect/>
        <a:stretch>
          <a:fillRect/>
        </a:stretch>
      </xdr:blipFill>
      <xdr:spPr bwMode="auto">
        <a:xfrm>
          <a:off x="11249025" y="2505075"/>
          <a:ext cx="752475" cy="485775"/>
        </a:xfrm>
        <a:prstGeom prst="rect">
          <a:avLst/>
        </a:prstGeom>
        <a:noFill/>
        <a:ln w="9525">
          <a:noFill/>
          <a:miter lim="800000"/>
          <a:headEnd/>
          <a:tailEnd/>
        </a:ln>
      </xdr:spPr>
    </xdr:pic>
    <xdr:clientData/>
  </xdr:twoCellAnchor>
  <xdr:twoCellAnchor editAs="oneCell">
    <xdr:from>
      <xdr:col>10</xdr:col>
      <xdr:colOff>133350</xdr:colOff>
      <xdr:row>11</xdr:row>
      <xdr:rowOff>152400</xdr:rowOff>
    </xdr:from>
    <xdr:to>
      <xdr:col>10</xdr:col>
      <xdr:colOff>1562100</xdr:colOff>
      <xdr:row>12</xdr:row>
      <xdr:rowOff>285750</xdr:rowOff>
    </xdr:to>
    <xdr:pic>
      <xdr:nvPicPr>
        <xdr:cNvPr id="3283718" name="Picture 31423"/>
        <xdr:cNvPicPr>
          <a:picLocks noChangeAspect="1" noChangeArrowheads="1"/>
        </xdr:cNvPicPr>
      </xdr:nvPicPr>
      <xdr:blipFill>
        <a:blip xmlns:r="http://schemas.openxmlformats.org/officeDocument/2006/relationships" r:embed="rId26"/>
        <a:srcRect/>
        <a:stretch>
          <a:fillRect/>
        </a:stretch>
      </xdr:blipFill>
      <xdr:spPr bwMode="auto">
        <a:xfrm>
          <a:off x="10934700" y="3209925"/>
          <a:ext cx="1428750" cy="323850"/>
        </a:xfrm>
        <a:prstGeom prst="rect">
          <a:avLst/>
        </a:prstGeom>
        <a:noFill/>
        <a:ln w="9525">
          <a:noFill/>
          <a:miter lim="800000"/>
          <a:headEnd/>
          <a:tailEnd/>
        </a:ln>
      </xdr:spPr>
    </xdr:pic>
    <xdr:clientData/>
  </xdr:twoCellAnchor>
  <xdr:twoCellAnchor editAs="oneCell">
    <xdr:from>
      <xdr:col>0</xdr:col>
      <xdr:colOff>523875</xdr:colOff>
      <xdr:row>13</xdr:row>
      <xdr:rowOff>66675</xdr:rowOff>
    </xdr:from>
    <xdr:to>
      <xdr:col>0</xdr:col>
      <xdr:colOff>990600</xdr:colOff>
      <xdr:row>13</xdr:row>
      <xdr:rowOff>581025</xdr:rowOff>
    </xdr:to>
    <xdr:pic>
      <xdr:nvPicPr>
        <xdr:cNvPr id="3283719" name="Рисунок 38" descr="крепление скоба + саморез 5,5х32_01.jpg"/>
        <xdr:cNvPicPr>
          <a:picLocks noChangeAspect="1"/>
        </xdr:cNvPicPr>
      </xdr:nvPicPr>
      <xdr:blipFill>
        <a:blip xmlns:r="http://schemas.openxmlformats.org/officeDocument/2006/relationships" r:embed="rId27"/>
        <a:srcRect/>
        <a:stretch>
          <a:fillRect/>
        </a:stretch>
      </xdr:blipFill>
      <xdr:spPr bwMode="auto">
        <a:xfrm rot="836929">
          <a:off x="523875" y="3629025"/>
          <a:ext cx="466725" cy="514350"/>
        </a:xfrm>
        <a:prstGeom prst="rect">
          <a:avLst/>
        </a:prstGeom>
        <a:noFill/>
        <a:ln w="9525">
          <a:noFill/>
          <a:miter lim="800000"/>
          <a:headEnd/>
          <a:tailEnd/>
        </a:ln>
      </xdr:spPr>
    </xdr:pic>
    <xdr:clientData/>
  </xdr:twoCellAnchor>
  <xdr:twoCellAnchor editAs="oneCell">
    <xdr:from>
      <xdr:col>0</xdr:col>
      <xdr:colOff>847725</xdr:colOff>
      <xdr:row>7</xdr:row>
      <xdr:rowOff>66675</xdr:rowOff>
    </xdr:from>
    <xdr:to>
      <xdr:col>0</xdr:col>
      <xdr:colOff>1247775</xdr:colOff>
      <xdr:row>11</xdr:row>
      <xdr:rowOff>38100</xdr:rowOff>
    </xdr:to>
    <xdr:pic>
      <xdr:nvPicPr>
        <xdr:cNvPr id="3283720" name="Picture 140"/>
        <xdr:cNvPicPr>
          <a:picLocks noChangeAspect="1" noChangeArrowheads="1"/>
        </xdr:cNvPicPr>
      </xdr:nvPicPr>
      <xdr:blipFill>
        <a:blip xmlns:r="http://schemas.openxmlformats.org/officeDocument/2006/relationships" r:embed="rId28"/>
        <a:srcRect/>
        <a:stretch>
          <a:fillRect/>
        </a:stretch>
      </xdr:blipFill>
      <xdr:spPr bwMode="auto">
        <a:xfrm>
          <a:off x="847725" y="2009775"/>
          <a:ext cx="400050" cy="1085850"/>
        </a:xfrm>
        <a:prstGeom prst="rect">
          <a:avLst/>
        </a:prstGeom>
        <a:noFill/>
        <a:ln w="9525">
          <a:noFill/>
          <a:round/>
          <a:headEnd/>
          <a:tailEnd/>
        </a:ln>
      </xdr:spPr>
    </xdr:pic>
    <xdr:clientData/>
  </xdr:twoCellAnchor>
  <xdr:twoCellAnchor editAs="oneCell">
    <xdr:from>
      <xdr:col>0</xdr:col>
      <xdr:colOff>571500</xdr:colOff>
      <xdr:row>14</xdr:row>
      <xdr:rowOff>9525</xdr:rowOff>
    </xdr:from>
    <xdr:to>
      <xdr:col>0</xdr:col>
      <xdr:colOff>1000125</xdr:colOff>
      <xdr:row>14</xdr:row>
      <xdr:rowOff>504825</xdr:rowOff>
    </xdr:to>
    <xdr:pic>
      <xdr:nvPicPr>
        <xdr:cNvPr id="3283721" name="Рисунок 4"/>
        <xdr:cNvPicPr>
          <a:picLocks noChangeAspect="1"/>
        </xdr:cNvPicPr>
      </xdr:nvPicPr>
      <xdr:blipFill>
        <a:blip xmlns:r="http://schemas.openxmlformats.org/officeDocument/2006/relationships" r:embed="rId29"/>
        <a:srcRect/>
        <a:stretch>
          <a:fillRect/>
        </a:stretch>
      </xdr:blipFill>
      <xdr:spPr bwMode="auto">
        <a:xfrm>
          <a:off x="571500" y="4219575"/>
          <a:ext cx="428625" cy="495300"/>
        </a:xfrm>
        <a:prstGeom prst="rect">
          <a:avLst/>
        </a:prstGeom>
        <a:noFill/>
        <a:ln w="9525">
          <a:noFill/>
          <a:miter lim="800000"/>
          <a:headEnd/>
          <a:tailEnd/>
        </a:ln>
      </xdr:spPr>
    </xdr:pic>
    <xdr:clientData/>
  </xdr:twoCellAnchor>
  <xdr:twoCellAnchor editAs="oneCell">
    <xdr:from>
      <xdr:col>0</xdr:col>
      <xdr:colOff>381000</xdr:colOff>
      <xdr:row>16</xdr:row>
      <xdr:rowOff>28575</xdr:rowOff>
    </xdr:from>
    <xdr:to>
      <xdr:col>0</xdr:col>
      <xdr:colOff>1000125</xdr:colOff>
      <xdr:row>16</xdr:row>
      <xdr:rowOff>428625</xdr:rowOff>
    </xdr:to>
    <xdr:pic>
      <xdr:nvPicPr>
        <xdr:cNvPr id="3283722" name="Рисунок 40"/>
        <xdr:cNvPicPr>
          <a:picLocks noChangeAspect="1"/>
        </xdr:cNvPicPr>
      </xdr:nvPicPr>
      <xdr:blipFill>
        <a:blip xmlns:r="http://schemas.openxmlformats.org/officeDocument/2006/relationships" r:embed="rId30"/>
        <a:srcRect/>
        <a:stretch>
          <a:fillRect/>
        </a:stretch>
      </xdr:blipFill>
      <xdr:spPr bwMode="auto">
        <a:xfrm>
          <a:off x="381000" y="5391150"/>
          <a:ext cx="619125" cy="400050"/>
        </a:xfrm>
        <a:prstGeom prst="rect">
          <a:avLst/>
        </a:prstGeom>
        <a:noFill/>
        <a:ln w="9525">
          <a:noFill/>
          <a:miter lim="800000"/>
          <a:headEnd/>
          <a:tailEnd/>
        </a:ln>
      </xdr:spPr>
    </xdr:pic>
    <xdr:clientData/>
  </xdr:twoCellAnchor>
  <xdr:twoCellAnchor editAs="oneCell">
    <xdr:from>
      <xdr:col>10</xdr:col>
      <xdr:colOff>314325</xdr:colOff>
      <xdr:row>17</xdr:row>
      <xdr:rowOff>38100</xdr:rowOff>
    </xdr:from>
    <xdr:to>
      <xdr:col>10</xdr:col>
      <xdr:colOff>1228725</xdr:colOff>
      <xdr:row>19</xdr:row>
      <xdr:rowOff>66675</xdr:rowOff>
    </xdr:to>
    <xdr:pic>
      <xdr:nvPicPr>
        <xdr:cNvPr id="3283723" name="Рисунок 37" descr="фиксатор проволоки в наконечнике.png"/>
        <xdr:cNvPicPr>
          <a:picLocks noChangeAspect="1"/>
        </xdr:cNvPicPr>
      </xdr:nvPicPr>
      <xdr:blipFill>
        <a:blip xmlns:r="http://schemas.openxmlformats.org/officeDocument/2006/relationships" r:embed="rId31" cstate="print"/>
        <a:srcRect/>
        <a:stretch>
          <a:fillRect/>
        </a:stretch>
      </xdr:blipFill>
      <xdr:spPr bwMode="auto">
        <a:xfrm>
          <a:off x="11115675" y="5876925"/>
          <a:ext cx="914400" cy="409575"/>
        </a:xfrm>
        <a:prstGeom prst="rect">
          <a:avLst/>
        </a:prstGeom>
        <a:noFill/>
        <a:ln w="9525">
          <a:noFill/>
          <a:miter lim="800000"/>
          <a:headEnd/>
          <a:tailEnd/>
        </a:ln>
      </xdr:spPr>
    </xdr:pic>
    <xdr:clientData/>
  </xdr:twoCellAnchor>
  <xdr:twoCellAnchor editAs="oneCell">
    <xdr:from>
      <xdr:col>0</xdr:col>
      <xdr:colOff>561975</xdr:colOff>
      <xdr:row>40</xdr:row>
      <xdr:rowOff>47625</xdr:rowOff>
    </xdr:from>
    <xdr:to>
      <xdr:col>0</xdr:col>
      <xdr:colOff>895350</xdr:colOff>
      <xdr:row>40</xdr:row>
      <xdr:rowOff>542925</xdr:rowOff>
    </xdr:to>
    <xdr:pic>
      <xdr:nvPicPr>
        <xdr:cNvPr id="3283724" name="Рисунок 36" descr="крепление 2 Скобы Bastion винт М6х30.png"/>
        <xdr:cNvPicPr>
          <a:picLocks noChangeAspect="1"/>
        </xdr:cNvPicPr>
      </xdr:nvPicPr>
      <xdr:blipFill>
        <a:blip xmlns:r="http://schemas.openxmlformats.org/officeDocument/2006/relationships" r:embed="rId32"/>
        <a:srcRect/>
        <a:stretch>
          <a:fillRect/>
        </a:stretch>
      </xdr:blipFill>
      <xdr:spPr bwMode="auto">
        <a:xfrm>
          <a:off x="561975" y="14592300"/>
          <a:ext cx="333375" cy="495300"/>
        </a:xfrm>
        <a:prstGeom prst="rect">
          <a:avLst/>
        </a:prstGeom>
        <a:noFill/>
        <a:ln w="9525">
          <a:noFill/>
          <a:miter lim="800000"/>
          <a:headEnd/>
          <a:tailEnd/>
        </a:ln>
      </xdr:spPr>
    </xdr:pic>
    <xdr:clientData/>
  </xdr:twoCellAnchor>
  <xdr:twoCellAnchor editAs="oneCell">
    <xdr:from>
      <xdr:col>10</xdr:col>
      <xdr:colOff>428625</xdr:colOff>
      <xdr:row>24</xdr:row>
      <xdr:rowOff>38100</xdr:rowOff>
    </xdr:from>
    <xdr:to>
      <xdr:col>10</xdr:col>
      <xdr:colOff>1181100</xdr:colOff>
      <xdr:row>25</xdr:row>
      <xdr:rowOff>180975</xdr:rowOff>
    </xdr:to>
    <xdr:pic>
      <xdr:nvPicPr>
        <xdr:cNvPr id="3283725" name="Рисунок 37"/>
        <xdr:cNvPicPr>
          <a:picLocks noChangeAspect="1"/>
        </xdr:cNvPicPr>
      </xdr:nvPicPr>
      <xdr:blipFill>
        <a:blip xmlns:r="http://schemas.openxmlformats.org/officeDocument/2006/relationships" r:embed="rId33"/>
        <a:srcRect/>
        <a:stretch>
          <a:fillRect/>
        </a:stretch>
      </xdr:blipFill>
      <xdr:spPr bwMode="auto">
        <a:xfrm>
          <a:off x="11229975" y="7743825"/>
          <a:ext cx="752475" cy="381000"/>
        </a:xfrm>
        <a:prstGeom prst="rect">
          <a:avLst/>
        </a:prstGeom>
        <a:noFill/>
        <a:ln w="9525">
          <a:noFill/>
          <a:miter lim="800000"/>
          <a:headEnd/>
          <a:tailEnd/>
        </a:ln>
      </xdr:spPr>
    </xdr:pic>
    <xdr:clientData/>
  </xdr:twoCellAnchor>
  <xdr:twoCellAnchor editAs="oneCell">
    <xdr:from>
      <xdr:col>0</xdr:col>
      <xdr:colOff>904875</xdr:colOff>
      <xdr:row>19</xdr:row>
      <xdr:rowOff>47625</xdr:rowOff>
    </xdr:from>
    <xdr:to>
      <xdr:col>0</xdr:col>
      <xdr:colOff>1466850</xdr:colOff>
      <xdr:row>26</xdr:row>
      <xdr:rowOff>200025</xdr:rowOff>
    </xdr:to>
    <xdr:pic>
      <xdr:nvPicPr>
        <xdr:cNvPr id="3283726" name="Рисунок 37"/>
        <xdr:cNvPicPr>
          <a:picLocks noChangeAspect="1"/>
        </xdr:cNvPicPr>
      </xdr:nvPicPr>
      <xdr:blipFill>
        <a:blip xmlns:r="http://schemas.openxmlformats.org/officeDocument/2006/relationships" r:embed="rId34"/>
        <a:srcRect/>
        <a:stretch>
          <a:fillRect/>
        </a:stretch>
      </xdr:blipFill>
      <xdr:spPr bwMode="auto">
        <a:xfrm>
          <a:off x="904875" y="6267450"/>
          <a:ext cx="561975" cy="22574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219075</xdr:colOff>
      <xdr:row>10</xdr:row>
      <xdr:rowOff>152400</xdr:rowOff>
    </xdr:from>
    <xdr:to>
      <xdr:col>16</xdr:col>
      <xdr:colOff>762000</xdr:colOff>
      <xdr:row>12</xdr:row>
      <xdr:rowOff>114300</xdr:rowOff>
    </xdr:to>
    <xdr:pic>
      <xdr:nvPicPr>
        <xdr:cNvPr id="3284321" name="Picture 284"/>
        <xdr:cNvPicPr>
          <a:picLocks noChangeAspect="1" noChangeArrowheads="1"/>
        </xdr:cNvPicPr>
      </xdr:nvPicPr>
      <xdr:blipFill>
        <a:blip xmlns:r="http://schemas.openxmlformats.org/officeDocument/2006/relationships" r:embed="rId1"/>
        <a:srcRect/>
        <a:stretch>
          <a:fillRect/>
        </a:stretch>
      </xdr:blipFill>
      <xdr:spPr bwMode="auto">
        <a:xfrm>
          <a:off x="9144000" y="2886075"/>
          <a:ext cx="542925" cy="495300"/>
        </a:xfrm>
        <a:prstGeom prst="rect">
          <a:avLst/>
        </a:prstGeom>
        <a:noFill/>
        <a:ln w="9525">
          <a:noFill/>
          <a:round/>
          <a:headEnd/>
          <a:tailEnd/>
        </a:ln>
      </xdr:spPr>
    </xdr:pic>
    <xdr:clientData/>
  </xdr:twoCellAnchor>
  <xdr:twoCellAnchor editAs="oneCell">
    <xdr:from>
      <xdr:col>0</xdr:col>
      <xdr:colOff>209550</xdr:colOff>
      <xdr:row>13</xdr:row>
      <xdr:rowOff>161925</xdr:rowOff>
    </xdr:from>
    <xdr:to>
      <xdr:col>0</xdr:col>
      <xdr:colOff>742950</xdr:colOff>
      <xdr:row>15</xdr:row>
      <xdr:rowOff>161925</xdr:rowOff>
    </xdr:to>
    <xdr:pic>
      <xdr:nvPicPr>
        <xdr:cNvPr id="3284322" name="Picture 283"/>
        <xdr:cNvPicPr>
          <a:picLocks noChangeAspect="1" noChangeArrowheads="1"/>
        </xdr:cNvPicPr>
      </xdr:nvPicPr>
      <xdr:blipFill>
        <a:blip xmlns:r="http://schemas.openxmlformats.org/officeDocument/2006/relationships" r:embed="rId2"/>
        <a:srcRect/>
        <a:stretch>
          <a:fillRect/>
        </a:stretch>
      </xdr:blipFill>
      <xdr:spPr bwMode="auto">
        <a:xfrm>
          <a:off x="209550" y="3619500"/>
          <a:ext cx="533400" cy="361950"/>
        </a:xfrm>
        <a:prstGeom prst="rect">
          <a:avLst/>
        </a:prstGeom>
        <a:noFill/>
        <a:ln w="9525">
          <a:noFill/>
          <a:round/>
          <a:headEnd/>
          <a:tailEnd/>
        </a:ln>
      </xdr:spPr>
    </xdr:pic>
    <xdr:clientData/>
  </xdr:twoCellAnchor>
  <xdr:twoCellAnchor editAs="oneCell">
    <xdr:from>
      <xdr:col>0</xdr:col>
      <xdr:colOff>38100</xdr:colOff>
      <xdr:row>19</xdr:row>
      <xdr:rowOff>28575</xdr:rowOff>
    </xdr:from>
    <xdr:to>
      <xdr:col>0</xdr:col>
      <xdr:colOff>1285875</xdr:colOff>
      <xdr:row>20</xdr:row>
      <xdr:rowOff>209550</xdr:rowOff>
    </xdr:to>
    <xdr:pic>
      <xdr:nvPicPr>
        <xdr:cNvPr id="3284323" name="Picture 285"/>
        <xdr:cNvPicPr>
          <a:picLocks noChangeAspect="1" noChangeArrowheads="1"/>
        </xdr:cNvPicPr>
      </xdr:nvPicPr>
      <xdr:blipFill>
        <a:blip xmlns:r="http://schemas.openxmlformats.org/officeDocument/2006/relationships" r:embed="rId3"/>
        <a:srcRect/>
        <a:stretch>
          <a:fillRect/>
        </a:stretch>
      </xdr:blipFill>
      <xdr:spPr bwMode="auto">
        <a:xfrm>
          <a:off x="38100" y="4876800"/>
          <a:ext cx="1247775" cy="428625"/>
        </a:xfrm>
        <a:prstGeom prst="rect">
          <a:avLst/>
        </a:prstGeom>
        <a:noFill/>
        <a:ln w="9525">
          <a:noFill/>
          <a:round/>
          <a:headEnd/>
          <a:tailEnd/>
        </a:ln>
      </xdr:spPr>
    </xdr:pic>
    <xdr:clientData/>
  </xdr:twoCellAnchor>
  <xdr:twoCellAnchor editAs="oneCell">
    <xdr:from>
      <xdr:col>0</xdr:col>
      <xdr:colOff>400050</xdr:colOff>
      <xdr:row>31</xdr:row>
      <xdr:rowOff>38100</xdr:rowOff>
    </xdr:from>
    <xdr:to>
      <xdr:col>0</xdr:col>
      <xdr:colOff>933450</xdr:colOff>
      <xdr:row>31</xdr:row>
      <xdr:rowOff>466725</xdr:rowOff>
    </xdr:to>
    <xdr:pic>
      <xdr:nvPicPr>
        <xdr:cNvPr id="3284324" name="Picture 289"/>
        <xdr:cNvPicPr>
          <a:picLocks noChangeAspect="1" noChangeArrowheads="1"/>
        </xdr:cNvPicPr>
      </xdr:nvPicPr>
      <xdr:blipFill>
        <a:blip xmlns:r="http://schemas.openxmlformats.org/officeDocument/2006/relationships" r:embed="rId4"/>
        <a:srcRect/>
        <a:stretch>
          <a:fillRect/>
        </a:stretch>
      </xdr:blipFill>
      <xdr:spPr bwMode="auto">
        <a:xfrm>
          <a:off x="400050" y="8162925"/>
          <a:ext cx="533400" cy="428625"/>
        </a:xfrm>
        <a:prstGeom prst="rect">
          <a:avLst/>
        </a:prstGeom>
        <a:noFill/>
        <a:ln w="9525">
          <a:noFill/>
          <a:round/>
          <a:headEnd/>
          <a:tailEnd/>
        </a:ln>
      </xdr:spPr>
    </xdr:pic>
    <xdr:clientData/>
  </xdr:twoCellAnchor>
  <xdr:twoCellAnchor editAs="oneCell">
    <xdr:from>
      <xdr:col>0</xdr:col>
      <xdr:colOff>152400</xdr:colOff>
      <xdr:row>34</xdr:row>
      <xdr:rowOff>104775</xdr:rowOff>
    </xdr:from>
    <xdr:to>
      <xdr:col>0</xdr:col>
      <xdr:colOff>1247775</xdr:colOff>
      <xdr:row>35</xdr:row>
      <xdr:rowOff>400050</xdr:rowOff>
    </xdr:to>
    <xdr:pic>
      <xdr:nvPicPr>
        <xdr:cNvPr id="3284325" name="Picture 291"/>
        <xdr:cNvPicPr>
          <a:picLocks noChangeAspect="1" noChangeArrowheads="1"/>
        </xdr:cNvPicPr>
      </xdr:nvPicPr>
      <xdr:blipFill>
        <a:blip xmlns:r="http://schemas.openxmlformats.org/officeDocument/2006/relationships" r:embed="rId5"/>
        <a:srcRect/>
        <a:stretch>
          <a:fillRect/>
        </a:stretch>
      </xdr:blipFill>
      <xdr:spPr bwMode="auto">
        <a:xfrm>
          <a:off x="152400" y="9334500"/>
          <a:ext cx="1095375" cy="476250"/>
        </a:xfrm>
        <a:prstGeom prst="rect">
          <a:avLst/>
        </a:prstGeom>
        <a:noFill/>
        <a:ln w="9525">
          <a:noFill/>
          <a:round/>
          <a:headEnd/>
          <a:tailEnd/>
        </a:ln>
      </xdr:spPr>
    </xdr:pic>
    <xdr:clientData/>
  </xdr:twoCellAnchor>
  <xdr:twoCellAnchor editAs="oneCell">
    <xdr:from>
      <xdr:col>0</xdr:col>
      <xdr:colOff>428625</xdr:colOff>
      <xdr:row>36</xdr:row>
      <xdr:rowOff>123825</xdr:rowOff>
    </xdr:from>
    <xdr:to>
      <xdr:col>0</xdr:col>
      <xdr:colOff>885825</xdr:colOff>
      <xdr:row>36</xdr:row>
      <xdr:rowOff>381000</xdr:rowOff>
    </xdr:to>
    <xdr:pic>
      <xdr:nvPicPr>
        <xdr:cNvPr id="3284326" name="Picture 293"/>
        <xdr:cNvPicPr>
          <a:picLocks noChangeAspect="1" noChangeArrowheads="1"/>
        </xdr:cNvPicPr>
      </xdr:nvPicPr>
      <xdr:blipFill>
        <a:blip xmlns:r="http://schemas.openxmlformats.org/officeDocument/2006/relationships" r:embed="rId6"/>
        <a:srcRect/>
        <a:stretch>
          <a:fillRect/>
        </a:stretch>
      </xdr:blipFill>
      <xdr:spPr bwMode="auto">
        <a:xfrm>
          <a:off x="428625" y="10029825"/>
          <a:ext cx="457200" cy="257175"/>
        </a:xfrm>
        <a:prstGeom prst="rect">
          <a:avLst/>
        </a:prstGeom>
        <a:noFill/>
        <a:ln w="9525">
          <a:noFill/>
          <a:round/>
          <a:headEnd/>
          <a:tailEnd/>
        </a:ln>
      </xdr:spPr>
    </xdr:pic>
    <xdr:clientData/>
  </xdr:twoCellAnchor>
  <xdr:twoCellAnchor editAs="oneCell">
    <xdr:from>
      <xdr:col>0</xdr:col>
      <xdr:colOff>438150</xdr:colOff>
      <xdr:row>37</xdr:row>
      <xdr:rowOff>38100</xdr:rowOff>
    </xdr:from>
    <xdr:to>
      <xdr:col>0</xdr:col>
      <xdr:colOff>838200</xdr:colOff>
      <xdr:row>37</xdr:row>
      <xdr:rowOff>247650</xdr:rowOff>
    </xdr:to>
    <xdr:pic>
      <xdr:nvPicPr>
        <xdr:cNvPr id="3284327" name="Picture 294"/>
        <xdr:cNvPicPr>
          <a:picLocks noChangeAspect="1" noChangeArrowheads="1"/>
        </xdr:cNvPicPr>
      </xdr:nvPicPr>
      <xdr:blipFill>
        <a:blip xmlns:r="http://schemas.openxmlformats.org/officeDocument/2006/relationships" r:embed="rId7"/>
        <a:srcRect/>
        <a:stretch>
          <a:fillRect/>
        </a:stretch>
      </xdr:blipFill>
      <xdr:spPr bwMode="auto">
        <a:xfrm>
          <a:off x="438150" y="10439400"/>
          <a:ext cx="400050" cy="209550"/>
        </a:xfrm>
        <a:prstGeom prst="rect">
          <a:avLst/>
        </a:prstGeom>
        <a:noFill/>
        <a:ln w="9525">
          <a:noFill/>
          <a:round/>
          <a:headEnd/>
          <a:tailEnd/>
        </a:ln>
      </xdr:spPr>
    </xdr:pic>
    <xdr:clientData/>
  </xdr:twoCellAnchor>
  <xdr:twoCellAnchor editAs="oneCell">
    <xdr:from>
      <xdr:col>0</xdr:col>
      <xdr:colOff>485775</xdr:colOff>
      <xdr:row>38</xdr:row>
      <xdr:rowOff>104775</xdr:rowOff>
    </xdr:from>
    <xdr:to>
      <xdr:col>0</xdr:col>
      <xdr:colOff>838200</xdr:colOff>
      <xdr:row>38</xdr:row>
      <xdr:rowOff>352425</xdr:rowOff>
    </xdr:to>
    <xdr:pic>
      <xdr:nvPicPr>
        <xdr:cNvPr id="3284328" name="Picture 296"/>
        <xdr:cNvPicPr>
          <a:picLocks noChangeAspect="1" noChangeArrowheads="1"/>
        </xdr:cNvPicPr>
      </xdr:nvPicPr>
      <xdr:blipFill>
        <a:blip xmlns:r="http://schemas.openxmlformats.org/officeDocument/2006/relationships" r:embed="rId8"/>
        <a:srcRect/>
        <a:stretch>
          <a:fillRect/>
        </a:stretch>
      </xdr:blipFill>
      <xdr:spPr bwMode="auto">
        <a:xfrm>
          <a:off x="485775" y="10791825"/>
          <a:ext cx="352425" cy="247650"/>
        </a:xfrm>
        <a:prstGeom prst="rect">
          <a:avLst/>
        </a:prstGeom>
        <a:noFill/>
        <a:ln w="9525">
          <a:noFill/>
          <a:round/>
          <a:headEnd/>
          <a:tailEnd/>
        </a:ln>
      </xdr:spPr>
    </xdr:pic>
    <xdr:clientData/>
  </xdr:twoCellAnchor>
  <xdr:twoCellAnchor editAs="oneCell">
    <xdr:from>
      <xdr:col>0</xdr:col>
      <xdr:colOff>352425</xdr:colOff>
      <xdr:row>39</xdr:row>
      <xdr:rowOff>19050</xdr:rowOff>
    </xdr:from>
    <xdr:to>
      <xdr:col>0</xdr:col>
      <xdr:colOff>990600</xdr:colOff>
      <xdr:row>39</xdr:row>
      <xdr:rowOff>333375</xdr:rowOff>
    </xdr:to>
    <xdr:pic>
      <xdr:nvPicPr>
        <xdr:cNvPr id="3284329" name="Picture 279"/>
        <xdr:cNvPicPr>
          <a:picLocks noChangeAspect="1" noChangeArrowheads="1"/>
        </xdr:cNvPicPr>
      </xdr:nvPicPr>
      <xdr:blipFill>
        <a:blip xmlns:r="http://schemas.openxmlformats.org/officeDocument/2006/relationships" r:embed="rId9"/>
        <a:srcRect/>
        <a:stretch>
          <a:fillRect/>
        </a:stretch>
      </xdr:blipFill>
      <xdr:spPr bwMode="auto">
        <a:xfrm>
          <a:off x="352425" y="11239500"/>
          <a:ext cx="638175" cy="314325"/>
        </a:xfrm>
        <a:prstGeom prst="rect">
          <a:avLst/>
        </a:prstGeom>
        <a:noFill/>
        <a:ln w="9525">
          <a:noFill/>
          <a:round/>
          <a:headEnd/>
          <a:tailEnd/>
        </a:ln>
      </xdr:spPr>
    </xdr:pic>
    <xdr:clientData/>
  </xdr:twoCellAnchor>
  <xdr:twoCellAnchor editAs="oneCell">
    <xdr:from>
      <xdr:col>0</xdr:col>
      <xdr:colOff>247650</xdr:colOff>
      <xdr:row>40</xdr:row>
      <xdr:rowOff>19050</xdr:rowOff>
    </xdr:from>
    <xdr:to>
      <xdr:col>0</xdr:col>
      <xdr:colOff>1047750</xdr:colOff>
      <xdr:row>40</xdr:row>
      <xdr:rowOff>342900</xdr:rowOff>
    </xdr:to>
    <xdr:pic>
      <xdr:nvPicPr>
        <xdr:cNvPr id="3284330" name="Picture 278"/>
        <xdr:cNvPicPr>
          <a:picLocks noChangeAspect="1" noChangeArrowheads="1"/>
        </xdr:cNvPicPr>
      </xdr:nvPicPr>
      <xdr:blipFill>
        <a:blip xmlns:r="http://schemas.openxmlformats.org/officeDocument/2006/relationships" r:embed="rId10"/>
        <a:srcRect/>
        <a:stretch>
          <a:fillRect/>
        </a:stretch>
      </xdr:blipFill>
      <xdr:spPr bwMode="auto">
        <a:xfrm>
          <a:off x="247650" y="11610975"/>
          <a:ext cx="800100" cy="323850"/>
        </a:xfrm>
        <a:prstGeom prst="rect">
          <a:avLst/>
        </a:prstGeom>
        <a:noFill/>
        <a:ln w="9525">
          <a:noFill/>
          <a:round/>
          <a:headEnd/>
          <a:tailEnd/>
        </a:ln>
      </xdr:spPr>
    </xdr:pic>
    <xdr:clientData/>
  </xdr:twoCellAnchor>
  <xdr:twoCellAnchor editAs="oneCell">
    <xdr:from>
      <xdr:col>0</xdr:col>
      <xdr:colOff>152400</xdr:colOff>
      <xdr:row>41</xdr:row>
      <xdr:rowOff>95250</xdr:rowOff>
    </xdr:from>
    <xdr:to>
      <xdr:col>0</xdr:col>
      <xdr:colOff>1238250</xdr:colOff>
      <xdr:row>42</xdr:row>
      <xdr:rowOff>66675</xdr:rowOff>
    </xdr:to>
    <xdr:pic>
      <xdr:nvPicPr>
        <xdr:cNvPr id="3284331" name="Picture 277"/>
        <xdr:cNvPicPr>
          <a:picLocks noChangeAspect="1" noChangeArrowheads="1"/>
        </xdr:cNvPicPr>
      </xdr:nvPicPr>
      <xdr:blipFill>
        <a:blip xmlns:r="http://schemas.openxmlformats.org/officeDocument/2006/relationships" r:embed="rId11"/>
        <a:srcRect/>
        <a:stretch>
          <a:fillRect/>
        </a:stretch>
      </xdr:blipFill>
      <xdr:spPr bwMode="auto">
        <a:xfrm>
          <a:off x="152400" y="12049125"/>
          <a:ext cx="1085850" cy="323850"/>
        </a:xfrm>
        <a:prstGeom prst="rect">
          <a:avLst/>
        </a:prstGeom>
        <a:noFill/>
        <a:ln w="9525">
          <a:noFill/>
          <a:round/>
          <a:headEnd/>
          <a:tailEnd/>
        </a:ln>
      </xdr:spPr>
    </xdr:pic>
    <xdr:clientData/>
  </xdr:twoCellAnchor>
  <xdr:twoCellAnchor editAs="oneCell">
    <xdr:from>
      <xdr:col>0</xdr:col>
      <xdr:colOff>361950</xdr:colOff>
      <xdr:row>7</xdr:row>
      <xdr:rowOff>76200</xdr:rowOff>
    </xdr:from>
    <xdr:to>
      <xdr:col>0</xdr:col>
      <xdr:colOff>942975</xdr:colOff>
      <xdr:row>10</xdr:row>
      <xdr:rowOff>161925</xdr:rowOff>
    </xdr:to>
    <xdr:pic>
      <xdr:nvPicPr>
        <xdr:cNvPr id="3284332" name="Picture 899"/>
        <xdr:cNvPicPr>
          <a:picLocks noChangeAspect="1" noChangeArrowheads="1"/>
        </xdr:cNvPicPr>
      </xdr:nvPicPr>
      <xdr:blipFill>
        <a:blip xmlns:r="http://schemas.openxmlformats.org/officeDocument/2006/relationships" r:embed="rId12"/>
        <a:srcRect/>
        <a:stretch>
          <a:fillRect/>
        </a:stretch>
      </xdr:blipFill>
      <xdr:spPr bwMode="auto">
        <a:xfrm>
          <a:off x="361950" y="2343150"/>
          <a:ext cx="581025" cy="552450"/>
        </a:xfrm>
        <a:prstGeom prst="rect">
          <a:avLst/>
        </a:prstGeom>
        <a:noFill/>
        <a:ln w="9525">
          <a:noFill/>
          <a:round/>
          <a:headEnd/>
          <a:tailEnd/>
        </a:ln>
      </xdr:spPr>
    </xdr:pic>
    <xdr:clientData/>
  </xdr:twoCellAnchor>
  <xdr:twoCellAnchor editAs="oneCell">
    <xdr:from>
      <xdr:col>0</xdr:col>
      <xdr:colOff>123825</xdr:colOff>
      <xdr:row>21</xdr:row>
      <xdr:rowOff>47625</xdr:rowOff>
    </xdr:from>
    <xdr:to>
      <xdr:col>0</xdr:col>
      <xdr:colOff>1143000</xdr:colOff>
      <xdr:row>23</xdr:row>
      <xdr:rowOff>123825</xdr:rowOff>
    </xdr:to>
    <xdr:pic>
      <xdr:nvPicPr>
        <xdr:cNvPr id="3284333" name="Picture 8449"/>
        <xdr:cNvPicPr>
          <a:picLocks noChangeAspect="1" noChangeArrowheads="1"/>
        </xdr:cNvPicPr>
      </xdr:nvPicPr>
      <xdr:blipFill>
        <a:blip xmlns:r="http://schemas.openxmlformats.org/officeDocument/2006/relationships" r:embed="rId13"/>
        <a:srcRect/>
        <a:stretch>
          <a:fillRect/>
        </a:stretch>
      </xdr:blipFill>
      <xdr:spPr bwMode="auto">
        <a:xfrm>
          <a:off x="123825" y="5391150"/>
          <a:ext cx="1019175" cy="733425"/>
        </a:xfrm>
        <a:prstGeom prst="rect">
          <a:avLst/>
        </a:prstGeom>
        <a:noFill/>
        <a:ln w="9525">
          <a:noFill/>
          <a:round/>
          <a:headEnd/>
          <a:tailEnd/>
        </a:ln>
      </xdr:spPr>
    </xdr:pic>
    <xdr:clientData/>
  </xdr:twoCellAnchor>
  <xdr:twoCellAnchor editAs="oneCell">
    <xdr:from>
      <xdr:col>0</xdr:col>
      <xdr:colOff>76200</xdr:colOff>
      <xdr:row>24</xdr:row>
      <xdr:rowOff>0</xdr:rowOff>
    </xdr:from>
    <xdr:to>
      <xdr:col>0</xdr:col>
      <xdr:colOff>1295400</xdr:colOff>
      <xdr:row>27</xdr:row>
      <xdr:rowOff>152400</xdr:rowOff>
    </xdr:to>
    <xdr:pic>
      <xdr:nvPicPr>
        <xdr:cNvPr id="3284334" name="Picture 8451"/>
        <xdr:cNvPicPr>
          <a:picLocks noChangeAspect="1" noChangeArrowheads="1"/>
        </xdr:cNvPicPr>
      </xdr:nvPicPr>
      <xdr:blipFill>
        <a:blip xmlns:r="http://schemas.openxmlformats.org/officeDocument/2006/relationships" r:embed="rId14"/>
        <a:srcRect/>
        <a:stretch>
          <a:fillRect/>
        </a:stretch>
      </xdr:blipFill>
      <xdr:spPr bwMode="auto">
        <a:xfrm>
          <a:off x="76200" y="6162675"/>
          <a:ext cx="1219200" cy="704850"/>
        </a:xfrm>
        <a:prstGeom prst="rect">
          <a:avLst/>
        </a:prstGeom>
        <a:noFill/>
        <a:ln w="9525">
          <a:noFill/>
          <a:round/>
          <a:headEnd/>
          <a:tailEnd/>
        </a:ln>
      </xdr:spPr>
    </xdr:pic>
    <xdr:clientData/>
  </xdr:twoCellAnchor>
  <xdr:twoCellAnchor editAs="oneCell">
    <xdr:from>
      <xdr:col>0</xdr:col>
      <xdr:colOff>238125</xdr:colOff>
      <xdr:row>30</xdr:row>
      <xdr:rowOff>57150</xdr:rowOff>
    </xdr:from>
    <xdr:to>
      <xdr:col>0</xdr:col>
      <xdr:colOff>1066800</xdr:colOff>
      <xdr:row>30</xdr:row>
      <xdr:rowOff>428625</xdr:rowOff>
    </xdr:to>
    <xdr:pic>
      <xdr:nvPicPr>
        <xdr:cNvPr id="3284335" name="Picture 8453"/>
        <xdr:cNvPicPr>
          <a:picLocks noChangeAspect="1" noChangeArrowheads="1"/>
        </xdr:cNvPicPr>
      </xdr:nvPicPr>
      <xdr:blipFill>
        <a:blip xmlns:r="http://schemas.openxmlformats.org/officeDocument/2006/relationships" r:embed="rId15"/>
        <a:srcRect/>
        <a:stretch>
          <a:fillRect/>
        </a:stretch>
      </xdr:blipFill>
      <xdr:spPr bwMode="auto">
        <a:xfrm>
          <a:off x="238125" y="7658100"/>
          <a:ext cx="828675" cy="371475"/>
        </a:xfrm>
        <a:prstGeom prst="rect">
          <a:avLst/>
        </a:prstGeom>
        <a:noFill/>
        <a:ln w="9525">
          <a:noFill/>
          <a:round/>
          <a:headEnd/>
          <a:tailEnd/>
        </a:ln>
      </xdr:spPr>
    </xdr:pic>
    <xdr:clientData/>
  </xdr:twoCellAnchor>
  <xdr:twoCellAnchor editAs="oneCell">
    <xdr:from>
      <xdr:col>0</xdr:col>
      <xdr:colOff>257175</xdr:colOff>
      <xdr:row>32</xdr:row>
      <xdr:rowOff>28575</xdr:rowOff>
    </xdr:from>
    <xdr:to>
      <xdr:col>0</xdr:col>
      <xdr:colOff>971550</xdr:colOff>
      <xdr:row>33</xdr:row>
      <xdr:rowOff>238125</xdr:rowOff>
    </xdr:to>
    <xdr:pic>
      <xdr:nvPicPr>
        <xdr:cNvPr id="3284336" name="Picture 8455"/>
        <xdr:cNvPicPr>
          <a:picLocks noChangeAspect="1" noChangeArrowheads="1"/>
        </xdr:cNvPicPr>
      </xdr:nvPicPr>
      <xdr:blipFill>
        <a:blip xmlns:r="http://schemas.openxmlformats.org/officeDocument/2006/relationships" r:embed="rId16"/>
        <a:srcRect/>
        <a:stretch>
          <a:fillRect/>
        </a:stretch>
      </xdr:blipFill>
      <xdr:spPr bwMode="auto">
        <a:xfrm>
          <a:off x="257175" y="8686800"/>
          <a:ext cx="714375" cy="495300"/>
        </a:xfrm>
        <a:prstGeom prst="rect">
          <a:avLst/>
        </a:prstGeom>
        <a:noFill/>
        <a:ln w="9525">
          <a:noFill/>
          <a:round/>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609600</xdr:colOff>
      <xdr:row>8</xdr:row>
      <xdr:rowOff>38100</xdr:rowOff>
    </xdr:from>
    <xdr:to>
      <xdr:col>0</xdr:col>
      <xdr:colOff>1181100</xdr:colOff>
      <xdr:row>11</xdr:row>
      <xdr:rowOff>161925</xdr:rowOff>
    </xdr:to>
    <xdr:pic>
      <xdr:nvPicPr>
        <xdr:cNvPr id="3285367" name="Рисунок 18"/>
        <xdr:cNvPicPr>
          <a:picLocks noChangeAspect="1" noChangeArrowheads="1"/>
        </xdr:cNvPicPr>
      </xdr:nvPicPr>
      <xdr:blipFill>
        <a:blip xmlns:r="http://schemas.openxmlformats.org/officeDocument/2006/relationships" r:embed="rId1"/>
        <a:srcRect/>
        <a:stretch>
          <a:fillRect/>
        </a:stretch>
      </xdr:blipFill>
      <xdr:spPr bwMode="auto">
        <a:xfrm>
          <a:off x="609600" y="2171700"/>
          <a:ext cx="571500" cy="733425"/>
        </a:xfrm>
        <a:prstGeom prst="rect">
          <a:avLst/>
        </a:prstGeom>
        <a:noFill/>
        <a:ln w="9525">
          <a:noFill/>
          <a:round/>
          <a:headEnd/>
          <a:tailEnd/>
        </a:ln>
      </xdr:spPr>
    </xdr:pic>
    <xdr:clientData/>
  </xdr:twoCellAnchor>
  <xdr:twoCellAnchor>
    <xdr:from>
      <xdr:col>0</xdr:col>
      <xdr:colOff>666750</xdr:colOff>
      <xdr:row>23</xdr:row>
      <xdr:rowOff>28575</xdr:rowOff>
    </xdr:from>
    <xdr:to>
      <xdr:col>0</xdr:col>
      <xdr:colOff>1114425</xdr:colOff>
      <xdr:row>24</xdr:row>
      <xdr:rowOff>142875</xdr:rowOff>
    </xdr:to>
    <xdr:pic>
      <xdr:nvPicPr>
        <xdr:cNvPr id="3285368" name="Рисунок 20"/>
        <xdr:cNvPicPr>
          <a:picLocks noChangeAspect="1" noChangeArrowheads="1"/>
        </xdr:cNvPicPr>
      </xdr:nvPicPr>
      <xdr:blipFill>
        <a:blip xmlns:r="http://schemas.openxmlformats.org/officeDocument/2006/relationships" r:embed="rId2"/>
        <a:srcRect/>
        <a:stretch>
          <a:fillRect/>
        </a:stretch>
      </xdr:blipFill>
      <xdr:spPr bwMode="auto">
        <a:xfrm>
          <a:off x="666750" y="6619875"/>
          <a:ext cx="447675" cy="304800"/>
        </a:xfrm>
        <a:prstGeom prst="rect">
          <a:avLst/>
        </a:prstGeom>
        <a:noFill/>
        <a:ln w="9525">
          <a:noFill/>
          <a:round/>
          <a:headEnd/>
          <a:tailEnd/>
        </a:ln>
      </xdr:spPr>
    </xdr:pic>
    <xdr:clientData/>
  </xdr:twoCellAnchor>
  <xdr:twoCellAnchor>
    <xdr:from>
      <xdr:col>0</xdr:col>
      <xdr:colOff>533400</xdr:colOff>
      <xdr:row>15</xdr:row>
      <xdr:rowOff>19050</xdr:rowOff>
    </xdr:from>
    <xdr:to>
      <xdr:col>0</xdr:col>
      <xdr:colOff>1390650</xdr:colOff>
      <xdr:row>15</xdr:row>
      <xdr:rowOff>342900</xdr:rowOff>
    </xdr:to>
    <xdr:pic>
      <xdr:nvPicPr>
        <xdr:cNvPr id="3285369" name="Picture 2536"/>
        <xdr:cNvPicPr>
          <a:picLocks noChangeAspect="1" noChangeArrowheads="1"/>
        </xdr:cNvPicPr>
      </xdr:nvPicPr>
      <xdr:blipFill>
        <a:blip xmlns:r="http://schemas.openxmlformats.org/officeDocument/2006/relationships" r:embed="rId3"/>
        <a:srcRect/>
        <a:stretch>
          <a:fillRect/>
        </a:stretch>
      </xdr:blipFill>
      <xdr:spPr bwMode="auto">
        <a:xfrm>
          <a:off x="533400" y="3829050"/>
          <a:ext cx="857250" cy="323850"/>
        </a:xfrm>
        <a:prstGeom prst="rect">
          <a:avLst/>
        </a:prstGeom>
        <a:noFill/>
        <a:ln w="9525">
          <a:noFill/>
          <a:round/>
          <a:headEnd/>
          <a:tailEnd/>
        </a:ln>
      </xdr:spPr>
    </xdr:pic>
    <xdr:clientData/>
  </xdr:twoCellAnchor>
  <xdr:twoCellAnchor editAs="oneCell">
    <xdr:from>
      <xdr:col>0</xdr:col>
      <xdr:colOff>742950</xdr:colOff>
      <xdr:row>20</xdr:row>
      <xdr:rowOff>114300</xdr:rowOff>
    </xdr:from>
    <xdr:to>
      <xdr:col>0</xdr:col>
      <xdr:colOff>1143000</xdr:colOff>
      <xdr:row>21</xdr:row>
      <xdr:rowOff>209550</xdr:rowOff>
    </xdr:to>
    <xdr:pic>
      <xdr:nvPicPr>
        <xdr:cNvPr id="3285370" name="Рисунок 11" descr="ВрО1.jpg"/>
        <xdr:cNvPicPr>
          <a:picLocks noChangeAspect="1"/>
        </xdr:cNvPicPr>
      </xdr:nvPicPr>
      <xdr:blipFill>
        <a:blip xmlns:r="http://schemas.openxmlformats.org/officeDocument/2006/relationships" r:embed="rId4"/>
        <a:srcRect/>
        <a:stretch>
          <a:fillRect/>
        </a:stretch>
      </xdr:blipFill>
      <xdr:spPr bwMode="auto">
        <a:xfrm>
          <a:off x="742950" y="5572125"/>
          <a:ext cx="400050" cy="485775"/>
        </a:xfrm>
        <a:prstGeom prst="rect">
          <a:avLst/>
        </a:prstGeom>
        <a:noFill/>
        <a:ln w="9525">
          <a:noFill/>
          <a:miter lim="800000"/>
          <a:headEnd/>
          <a:tailEnd/>
        </a:ln>
      </xdr:spPr>
    </xdr:pic>
    <xdr:clientData/>
  </xdr:twoCellAnchor>
  <xdr:twoCellAnchor editAs="oneCell">
    <xdr:from>
      <xdr:col>0</xdr:col>
      <xdr:colOff>609600</xdr:colOff>
      <xdr:row>22</xdr:row>
      <xdr:rowOff>28575</xdr:rowOff>
    </xdr:from>
    <xdr:to>
      <xdr:col>0</xdr:col>
      <xdr:colOff>1276350</xdr:colOff>
      <xdr:row>22</xdr:row>
      <xdr:rowOff>323850</xdr:rowOff>
    </xdr:to>
    <xdr:pic>
      <xdr:nvPicPr>
        <xdr:cNvPr id="3285371" name="Picture 4380"/>
        <xdr:cNvPicPr>
          <a:picLocks noChangeAspect="1" noChangeArrowheads="1"/>
        </xdr:cNvPicPr>
      </xdr:nvPicPr>
      <xdr:blipFill>
        <a:blip xmlns:r="http://schemas.openxmlformats.org/officeDocument/2006/relationships" r:embed="rId5"/>
        <a:srcRect/>
        <a:stretch>
          <a:fillRect/>
        </a:stretch>
      </xdr:blipFill>
      <xdr:spPr bwMode="auto">
        <a:xfrm>
          <a:off x="609600" y="6267450"/>
          <a:ext cx="666750" cy="295275"/>
        </a:xfrm>
        <a:prstGeom prst="rect">
          <a:avLst/>
        </a:prstGeom>
        <a:noFill/>
        <a:ln w="9525">
          <a:noFill/>
          <a:miter lim="800000"/>
          <a:headEnd/>
          <a:tailEnd/>
        </a:ln>
      </xdr:spPr>
    </xdr:pic>
    <xdr:clientData/>
  </xdr:twoCellAnchor>
  <xdr:twoCellAnchor>
    <xdr:from>
      <xdr:col>0</xdr:col>
      <xdr:colOff>619125</xdr:colOff>
      <xdr:row>30</xdr:row>
      <xdr:rowOff>28575</xdr:rowOff>
    </xdr:from>
    <xdr:to>
      <xdr:col>0</xdr:col>
      <xdr:colOff>990600</xdr:colOff>
      <xdr:row>30</xdr:row>
      <xdr:rowOff>295275</xdr:rowOff>
    </xdr:to>
    <xdr:pic>
      <xdr:nvPicPr>
        <xdr:cNvPr id="3285372" name="Picture 2"/>
        <xdr:cNvPicPr>
          <a:picLocks noChangeAspect="1" noChangeArrowheads="1"/>
        </xdr:cNvPicPr>
      </xdr:nvPicPr>
      <xdr:blipFill>
        <a:blip xmlns:r="http://schemas.openxmlformats.org/officeDocument/2006/relationships" r:embed="rId6"/>
        <a:srcRect/>
        <a:stretch>
          <a:fillRect/>
        </a:stretch>
      </xdr:blipFill>
      <xdr:spPr bwMode="auto">
        <a:xfrm>
          <a:off x="619125" y="8391525"/>
          <a:ext cx="371475" cy="266700"/>
        </a:xfrm>
        <a:prstGeom prst="rect">
          <a:avLst/>
        </a:prstGeom>
        <a:noFill/>
        <a:ln w="9525">
          <a:noFill/>
          <a:round/>
          <a:headEnd/>
          <a:tailEnd/>
        </a:ln>
      </xdr:spPr>
    </xdr:pic>
    <xdr:clientData/>
  </xdr:twoCellAnchor>
  <xdr:twoCellAnchor>
    <xdr:from>
      <xdr:col>0</xdr:col>
      <xdr:colOff>704850</xdr:colOff>
      <xdr:row>29</xdr:row>
      <xdr:rowOff>19050</xdr:rowOff>
    </xdr:from>
    <xdr:to>
      <xdr:col>0</xdr:col>
      <xdr:colOff>1009650</xdr:colOff>
      <xdr:row>29</xdr:row>
      <xdr:rowOff>285750</xdr:rowOff>
    </xdr:to>
    <xdr:pic>
      <xdr:nvPicPr>
        <xdr:cNvPr id="3285373" name="Picture 4"/>
        <xdr:cNvPicPr>
          <a:picLocks noChangeAspect="1" noChangeArrowheads="1"/>
        </xdr:cNvPicPr>
      </xdr:nvPicPr>
      <xdr:blipFill>
        <a:blip xmlns:r="http://schemas.openxmlformats.org/officeDocument/2006/relationships" r:embed="rId7"/>
        <a:srcRect/>
        <a:stretch>
          <a:fillRect/>
        </a:stretch>
      </xdr:blipFill>
      <xdr:spPr bwMode="auto">
        <a:xfrm>
          <a:off x="704850" y="8077200"/>
          <a:ext cx="304800" cy="266700"/>
        </a:xfrm>
        <a:prstGeom prst="rect">
          <a:avLst/>
        </a:prstGeom>
        <a:noFill/>
        <a:ln w="9525">
          <a:noFill/>
          <a:round/>
          <a:headEnd/>
          <a:tailEnd/>
        </a:ln>
      </xdr:spPr>
    </xdr:pic>
    <xdr:clientData/>
  </xdr:twoCellAnchor>
  <xdr:twoCellAnchor>
    <xdr:from>
      <xdr:col>0</xdr:col>
      <xdr:colOff>628650</xdr:colOff>
      <xdr:row>28</xdr:row>
      <xdr:rowOff>19050</xdr:rowOff>
    </xdr:from>
    <xdr:to>
      <xdr:col>0</xdr:col>
      <xdr:colOff>1057275</xdr:colOff>
      <xdr:row>28</xdr:row>
      <xdr:rowOff>314325</xdr:rowOff>
    </xdr:to>
    <xdr:pic>
      <xdr:nvPicPr>
        <xdr:cNvPr id="3285374" name="Picture 6"/>
        <xdr:cNvPicPr>
          <a:picLocks noChangeAspect="1" noChangeArrowheads="1"/>
        </xdr:cNvPicPr>
      </xdr:nvPicPr>
      <xdr:blipFill>
        <a:blip xmlns:r="http://schemas.openxmlformats.org/officeDocument/2006/relationships" r:embed="rId8"/>
        <a:srcRect/>
        <a:stretch>
          <a:fillRect/>
        </a:stretch>
      </xdr:blipFill>
      <xdr:spPr bwMode="auto">
        <a:xfrm>
          <a:off x="628650" y="7724775"/>
          <a:ext cx="428625" cy="295275"/>
        </a:xfrm>
        <a:prstGeom prst="rect">
          <a:avLst/>
        </a:prstGeom>
        <a:noFill/>
        <a:ln w="9525">
          <a:noFill/>
          <a:round/>
          <a:headEnd/>
          <a:tailEnd/>
        </a:ln>
      </xdr:spPr>
    </xdr:pic>
    <xdr:clientData/>
  </xdr:twoCellAnchor>
  <xdr:twoCellAnchor>
    <xdr:from>
      <xdr:col>0</xdr:col>
      <xdr:colOff>609600</xdr:colOff>
      <xdr:row>8</xdr:row>
      <xdr:rowOff>38100</xdr:rowOff>
    </xdr:from>
    <xdr:to>
      <xdr:col>0</xdr:col>
      <xdr:colOff>1181100</xdr:colOff>
      <xdr:row>11</xdr:row>
      <xdr:rowOff>161925</xdr:rowOff>
    </xdr:to>
    <xdr:pic>
      <xdr:nvPicPr>
        <xdr:cNvPr id="3285375" name="Рисунок 18"/>
        <xdr:cNvPicPr>
          <a:picLocks noChangeAspect="1" noChangeArrowheads="1"/>
        </xdr:cNvPicPr>
      </xdr:nvPicPr>
      <xdr:blipFill>
        <a:blip xmlns:r="http://schemas.openxmlformats.org/officeDocument/2006/relationships" r:embed="rId1"/>
        <a:srcRect/>
        <a:stretch>
          <a:fillRect/>
        </a:stretch>
      </xdr:blipFill>
      <xdr:spPr bwMode="auto">
        <a:xfrm>
          <a:off x="609600" y="2171700"/>
          <a:ext cx="571500" cy="733425"/>
        </a:xfrm>
        <a:prstGeom prst="rect">
          <a:avLst/>
        </a:prstGeom>
        <a:noFill/>
        <a:ln w="9525">
          <a:noFill/>
          <a:round/>
          <a:headEnd/>
          <a:tailEnd/>
        </a:ln>
      </xdr:spPr>
    </xdr:pic>
    <xdr:clientData/>
  </xdr:twoCellAnchor>
  <xdr:twoCellAnchor>
    <xdr:from>
      <xdr:col>0</xdr:col>
      <xdr:colOff>666750</xdr:colOff>
      <xdr:row>23</xdr:row>
      <xdr:rowOff>28575</xdr:rowOff>
    </xdr:from>
    <xdr:to>
      <xdr:col>0</xdr:col>
      <xdr:colOff>1114425</xdr:colOff>
      <xdr:row>24</xdr:row>
      <xdr:rowOff>142875</xdr:rowOff>
    </xdr:to>
    <xdr:pic>
      <xdr:nvPicPr>
        <xdr:cNvPr id="3285376" name="Рисунок 20"/>
        <xdr:cNvPicPr>
          <a:picLocks noChangeAspect="1" noChangeArrowheads="1"/>
        </xdr:cNvPicPr>
      </xdr:nvPicPr>
      <xdr:blipFill>
        <a:blip xmlns:r="http://schemas.openxmlformats.org/officeDocument/2006/relationships" r:embed="rId2"/>
        <a:srcRect/>
        <a:stretch>
          <a:fillRect/>
        </a:stretch>
      </xdr:blipFill>
      <xdr:spPr bwMode="auto">
        <a:xfrm>
          <a:off x="666750" y="6619875"/>
          <a:ext cx="447675" cy="304800"/>
        </a:xfrm>
        <a:prstGeom prst="rect">
          <a:avLst/>
        </a:prstGeom>
        <a:noFill/>
        <a:ln w="9525">
          <a:noFill/>
          <a:round/>
          <a:headEnd/>
          <a:tailEnd/>
        </a:ln>
      </xdr:spPr>
    </xdr:pic>
    <xdr:clientData/>
  </xdr:twoCellAnchor>
  <xdr:twoCellAnchor>
    <xdr:from>
      <xdr:col>0</xdr:col>
      <xdr:colOff>533400</xdr:colOff>
      <xdr:row>15</xdr:row>
      <xdr:rowOff>19050</xdr:rowOff>
    </xdr:from>
    <xdr:to>
      <xdr:col>0</xdr:col>
      <xdr:colOff>1390650</xdr:colOff>
      <xdr:row>15</xdr:row>
      <xdr:rowOff>342900</xdr:rowOff>
    </xdr:to>
    <xdr:pic>
      <xdr:nvPicPr>
        <xdr:cNvPr id="3285377" name="Picture 2536"/>
        <xdr:cNvPicPr>
          <a:picLocks noChangeAspect="1" noChangeArrowheads="1"/>
        </xdr:cNvPicPr>
      </xdr:nvPicPr>
      <xdr:blipFill>
        <a:blip xmlns:r="http://schemas.openxmlformats.org/officeDocument/2006/relationships" r:embed="rId3"/>
        <a:srcRect/>
        <a:stretch>
          <a:fillRect/>
        </a:stretch>
      </xdr:blipFill>
      <xdr:spPr bwMode="auto">
        <a:xfrm>
          <a:off x="533400" y="3829050"/>
          <a:ext cx="857250" cy="323850"/>
        </a:xfrm>
        <a:prstGeom prst="rect">
          <a:avLst/>
        </a:prstGeom>
        <a:noFill/>
        <a:ln w="9525">
          <a:noFill/>
          <a:round/>
          <a:headEnd/>
          <a:tailEnd/>
        </a:ln>
      </xdr:spPr>
    </xdr:pic>
    <xdr:clientData/>
  </xdr:twoCellAnchor>
  <xdr:twoCellAnchor editAs="oneCell">
    <xdr:from>
      <xdr:col>0</xdr:col>
      <xdr:colOff>742950</xdr:colOff>
      <xdr:row>20</xdr:row>
      <xdr:rowOff>114300</xdr:rowOff>
    </xdr:from>
    <xdr:to>
      <xdr:col>0</xdr:col>
      <xdr:colOff>1143000</xdr:colOff>
      <xdr:row>21</xdr:row>
      <xdr:rowOff>209550</xdr:rowOff>
    </xdr:to>
    <xdr:pic>
      <xdr:nvPicPr>
        <xdr:cNvPr id="3285378" name="Рисунок 11" descr="ВрО1.jpg"/>
        <xdr:cNvPicPr>
          <a:picLocks noChangeAspect="1"/>
        </xdr:cNvPicPr>
      </xdr:nvPicPr>
      <xdr:blipFill>
        <a:blip xmlns:r="http://schemas.openxmlformats.org/officeDocument/2006/relationships" r:embed="rId4"/>
        <a:srcRect/>
        <a:stretch>
          <a:fillRect/>
        </a:stretch>
      </xdr:blipFill>
      <xdr:spPr bwMode="auto">
        <a:xfrm>
          <a:off x="742950" y="5572125"/>
          <a:ext cx="400050" cy="485775"/>
        </a:xfrm>
        <a:prstGeom prst="rect">
          <a:avLst/>
        </a:prstGeom>
        <a:noFill/>
        <a:ln w="9525">
          <a:noFill/>
          <a:miter lim="800000"/>
          <a:headEnd/>
          <a:tailEnd/>
        </a:ln>
      </xdr:spPr>
    </xdr:pic>
    <xdr:clientData/>
  </xdr:twoCellAnchor>
  <xdr:twoCellAnchor editAs="oneCell">
    <xdr:from>
      <xdr:col>0</xdr:col>
      <xdr:colOff>609600</xdr:colOff>
      <xdr:row>22</xdr:row>
      <xdr:rowOff>28575</xdr:rowOff>
    </xdr:from>
    <xdr:to>
      <xdr:col>0</xdr:col>
      <xdr:colOff>1276350</xdr:colOff>
      <xdr:row>22</xdr:row>
      <xdr:rowOff>323850</xdr:rowOff>
    </xdr:to>
    <xdr:pic>
      <xdr:nvPicPr>
        <xdr:cNvPr id="3285379" name="Picture 4380"/>
        <xdr:cNvPicPr>
          <a:picLocks noChangeAspect="1" noChangeArrowheads="1"/>
        </xdr:cNvPicPr>
      </xdr:nvPicPr>
      <xdr:blipFill>
        <a:blip xmlns:r="http://schemas.openxmlformats.org/officeDocument/2006/relationships" r:embed="rId5"/>
        <a:srcRect/>
        <a:stretch>
          <a:fillRect/>
        </a:stretch>
      </xdr:blipFill>
      <xdr:spPr bwMode="auto">
        <a:xfrm>
          <a:off x="609600" y="6267450"/>
          <a:ext cx="666750" cy="295275"/>
        </a:xfrm>
        <a:prstGeom prst="rect">
          <a:avLst/>
        </a:prstGeom>
        <a:noFill/>
        <a:ln w="9525">
          <a:noFill/>
          <a:miter lim="800000"/>
          <a:headEnd/>
          <a:tailEnd/>
        </a:ln>
      </xdr:spPr>
    </xdr:pic>
    <xdr:clientData/>
  </xdr:twoCellAnchor>
  <xdr:twoCellAnchor>
    <xdr:from>
      <xdr:col>0</xdr:col>
      <xdr:colOff>619125</xdr:colOff>
      <xdr:row>30</xdr:row>
      <xdr:rowOff>28575</xdr:rowOff>
    </xdr:from>
    <xdr:to>
      <xdr:col>0</xdr:col>
      <xdr:colOff>990600</xdr:colOff>
      <xdr:row>30</xdr:row>
      <xdr:rowOff>295275</xdr:rowOff>
    </xdr:to>
    <xdr:pic>
      <xdr:nvPicPr>
        <xdr:cNvPr id="3285380" name="Picture 2"/>
        <xdr:cNvPicPr>
          <a:picLocks noChangeAspect="1" noChangeArrowheads="1"/>
        </xdr:cNvPicPr>
      </xdr:nvPicPr>
      <xdr:blipFill>
        <a:blip xmlns:r="http://schemas.openxmlformats.org/officeDocument/2006/relationships" r:embed="rId6"/>
        <a:srcRect/>
        <a:stretch>
          <a:fillRect/>
        </a:stretch>
      </xdr:blipFill>
      <xdr:spPr bwMode="auto">
        <a:xfrm>
          <a:off x="619125" y="8391525"/>
          <a:ext cx="371475" cy="266700"/>
        </a:xfrm>
        <a:prstGeom prst="rect">
          <a:avLst/>
        </a:prstGeom>
        <a:noFill/>
        <a:ln w="9525">
          <a:noFill/>
          <a:round/>
          <a:headEnd/>
          <a:tailEnd/>
        </a:ln>
      </xdr:spPr>
    </xdr:pic>
    <xdr:clientData/>
  </xdr:twoCellAnchor>
  <xdr:twoCellAnchor>
    <xdr:from>
      <xdr:col>0</xdr:col>
      <xdr:colOff>704850</xdr:colOff>
      <xdr:row>29</xdr:row>
      <xdr:rowOff>19050</xdr:rowOff>
    </xdr:from>
    <xdr:to>
      <xdr:col>0</xdr:col>
      <xdr:colOff>1009650</xdr:colOff>
      <xdr:row>29</xdr:row>
      <xdr:rowOff>285750</xdr:rowOff>
    </xdr:to>
    <xdr:pic>
      <xdr:nvPicPr>
        <xdr:cNvPr id="3285381" name="Picture 4"/>
        <xdr:cNvPicPr>
          <a:picLocks noChangeAspect="1" noChangeArrowheads="1"/>
        </xdr:cNvPicPr>
      </xdr:nvPicPr>
      <xdr:blipFill>
        <a:blip xmlns:r="http://schemas.openxmlformats.org/officeDocument/2006/relationships" r:embed="rId7"/>
        <a:srcRect/>
        <a:stretch>
          <a:fillRect/>
        </a:stretch>
      </xdr:blipFill>
      <xdr:spPr bwMode="auto">
        <a:xfrm>
          <a:off x="704850" y="8077200"/>
          <a:ext cx="304800" cy="266700"/>
        </a:xfrm>
        <a:prstGeom prst="rect">
          <a:avLst/>
        </a:prstGeom>
        <a:noFill/>
        <a:ln w="9525">
          <a:noFill/>
          <a:round/>
          <a:headEnd/>
          <a:tailEnd/>
        </a:ln>
      </xdr:spPr>
    </xdr:pic>
    <xdr:clientData/>
  </xdr:twoCellAnchor>
  <xdr:twoCellAnchor>
    <xdr:from>
      <xdr:col>0</xdr:col>
      <xdr:colOff>628650</xdr:colOff>
      <xdr:row>28</xdr:row>
      <xdr:rowOff>19050</xdr:rowOff>
    </xdr:from>
    <xdr:to>
      <xdr:col>0</xdr:col>
      <xdr:colOff>1057275</xdr:colOff>
      <xdr:row>28</xdr:row>
      <xdr:rowOff>314325</xdr:rowOff>
    </xdr:to>
    <xdr:pic>
      <xdr:nvPicPr>
        <xdr:cNvPr id="3285382" name="Picture 6"/>
        <xdr:cNvPicPr>
          <a:picLocks noChangeAspect="1" noChangeArrowheads="1"/>
        </xdr:cNvPicPr>
      </xdr:nvPicPr>
      <xdr:blipFill>
        <a:blip xmlns:r="http://schemas.openxmlformats.org/officeDocument/2006/relationships" r:embed="rId8"/>
        <a:srcRect/>
        <a:stretch>
          <a:fillRect/>
        </a:stretch>
      </xdr:blipFill>
      <xdr:spPr bwMode="auto">
        <a:xfrm>
          <a:off x="628650" y="7724775"/>
          <a:ext cx="428625" cy="295275"/>
        </a:xfrm>
        <a:prstGeom prst="rect">
          <a:avLst/>
        </a:prstGeom>
        <a:noFill/>
        <a:ln w="9525">
          <a:noFill/>
          <a:round/>
          <a:headEnd/>
          <a:tailEnd/>
        </a:ln>
      </xdr:spPr>
    </xdr:pic>
    <xdr:clientData/>
  </xdr:twoCellAnchor>
  <xdr:twoCellAnchor editAs="oneCell">
    <xdr:from>
      <xdr:col>0</xdr:col>
      <xdr:colOff>504825</xdr:colOff>
      <xdr:row>19</xdr:row>
      <xdr:rowOff>28575</xdr:rowOff>
    </xdr:from>
    <xdr:to>
      <xdr:col>0</xdr:col>
      <xdr:colOff>1304925</xdr:colOff>
      <xdr:row>19</xdr:row>
      <xdr:rowOff>476250</xdr:rowOff>
    </xdr:to>
    <xdr:pic>
      <xdr:nvPicPr>
        <xdr:cNvPr id="3285383" name="Рисунок 19"/>
        <xdr:cNvPicPr>
          <a:picLocks noChangeAspect="1"/>
        </xdr:cNvPicPr>
      </xdr:nvPicPr>
      <xdr:blipFill>
        <a:blip xmlns:r="http://schemas.openxmlformats.org/officeDocument/2006/relationships" r:embed="rId9" cstate="print"/>
        <a:srcRect/>
        <a:stretch>
          <a:fillRect/>
        </a:stretch>
      </xdr:blipFill>
      <xdr:spPr bwMode="auto">
        <a:xfrm>
          <a:off x="504825" y="4981575"/>
          <a:ext cx="800100" cy="4476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8</xdr:row>
      <xdr:rowOff>381000</xdr:rowOff>
    </xdr:from>
    <xdr:to>
      <xdr:col>0</xdr:col>
      <xdr:colOff>1752600</xdr:colOff>
      <xdr:row>9</xdr:row>
      <xdr:rowOff>161925</xdr:rowOff>
    </xdr:to>
    <xdr:pic>
      <xdr:nvPicPr>
        <xdr:cNvPr id="3286699" name="Picture 5967"/>
        <xdr:cNvPicPr>
          <a:picLocks noChangeAspect="1" noChangeArrowheads="1"/>
        </xdr:cNvPicPr>
      </xdr:nvPicPr>
      <xdr:blipFill>
        <a:blip xmlns:r="http://schemas.openxmlformats.org/officeDocument/2006/relationships" r:embed="rId1"/>
        <a:srcRect/>
        <a:stretch>
          <a:fillRect/>
        </a:stretch>
      </xdr:blipFill>
      <xdr:spPr bwMode="auto">
        <a:xfrm>
          <a:off x="38100" y="2266950"/>
          <a:ext cx="1714500" cy="752475"/>
        </a:xfrm>
        <a:prstGeom prst="rect">
          <a:avLst/>
        </a:prstGeom>
        <a:noFill/>
        <a:ln w="9525">
          <a:noFill/>
          <a:round/>
          <a:headEnd/>
          <a:tailEnd/>
        </a:ln>
      </xdr:spPr>
    </xdr:pic>
    <xdr:clientData/>
  </xdr:twoCellAnchor>
  <xdr:twoCellAnchor editAs="oneCell">
    <xdr:from>
      <xdr:col>10</xdr:col>
      <xdr:colOff>114300</xdr:colOff>
      <xdr:row>8</xdr:row>
      <xdr:rowOff>323850</xdr:rowOff>
    </xdr:from>
    <xdr:to>
      <xdr:col>10</xdr:col>
      <xdr:colOff>1647825</xdr:colOff>
      <xdr:row>9</xdr:row>
      <xdr:rowOff>200025</xdr:rowOff>
    </xdr:to>
    <xdr:pic>
      <xdr:nvPicPr>
        <xdr:cNvPr id="3286700" name="Picture 5988"/>
        <xdr:cNvPicPr>
          <a:picLocks noChangeAspect="1" noChangeArrowheads="1"/>
        </xdr:cNvPicPr>
      </xdr:nvPicPr>
      <xdr:blipFill>
        <a:blip xmlns:r="http://schemas.openxmlformats.org/officeDocument/2006/relationships" r:embed="rId2"/>
        <a:srcRect/>
        <a:stretch>
          <a:fillRect/>
        </a:stretch>
      </xdr:blipFill>
      <xdr:spPr bwMode="auto">
        <a:xfrm>
          <a:off x="9201150" y="2209800"/>
          <a:ext cx="1533525" cy="847725"/>
        </a:xfrm>
        <a:prstGeom prst="rect">
          <a:avLst/>
        </a:prstGeom>
        <a:noFill/>
        <a:ln w="9525">
          <a:noFill/>
          <a:round/>
          <a:headEnd/>
          <a:tailEnd/>
        </a:ln>
      </xdr:spPr>
    </xdr:pic>
    <xdr:clientData/>
  </xdr:twoCellAnchor>
  <xdr:twoCellAnchor editAs="oneCell">
    <xdr:from>
      <xdr:col>0</xdr:col>
      <xdr:colOff>314325</xdr:colOff>
      <xdr:row>21</xdr:row>
      <xdr:rowOff>104775</xdr:rowOff>
    </xdr:from>
    <xdr:to>
      <xdr:col>0</xdr:col>
      <xdr:colOff>800100</xdr:colOff>
      <xdr:row>23</xdr:row>
      <xdr:rowOff>171450</xdr:rowOff>
    </xdr:to>
    <xdr:pic>
      <xdr:nvPicPr>
        <xdr:cNvPr id="3286701" name="Afbeelding 1088"/>
        <xdr:cNvPicPr>
          <a:picLocks noChangeAspect="1" noChangeArrowheads="1"/>
        </xdr:cNvPicPr>
      </xdr:nvPicPr>
      <xdr:blipFill>
        <a:blip xmlns:r="http://schemas.openxmlformats.org/officeDocument/2006/relationships" r:embed="rId3"/>
        <a:srcRect/>
        <a:stretch>
          <a:fillRect/>
        </a:stretch>
      </xdr:blipFill>
      <xdr:spPr bwMode="auto">
        <a:xfrm>
          <a:off x="314325" y="7677150"/>
          <a:ext cx="485775" cy="666750"/>
        </a:xfrm>
        <a:prstGeom prst="rect">
          <a:avLst/>
        </a:prstGeom>
        <a:noFill/>
        <a:ln w="9525">
          <a:noFill/>
          <a:round/>
          <a:headEnd/>
          <a:tailEnd/>
        </a:ln>
      </xdr:spPr>
    </xdr:pic>
    <xdr:clientData/>
  </xdr:twoCellAnchor>
  <xdr:twoCellAnchor editAs="oneCell">
    <xdr:from>
      <xdr:col>0</xdr:col>
      <xdr:colOff>857250</xdr:colOff>
      <xdr:row>21</xdr:row>
      <xdr:rowOff>114300</xdr:rowOff>
    </xdr:from>
    <xdr:to>
      <xdr:col>0</xdr:col>
      <xdr:colOff>1095375</xdr:colOff>
      <xdr:row>23</xdr:row>
      <xdr:rowOff>238125</xdr:rowOff>
    </xdr:to>
    <xdr:pic>
      <xdr:nvPicPr>
        <xdr:cNvPr id="3286702" name="Afbeelding 2"/>
        <xdr:cNvPicPr>
          <a:picLocks noChangeAspect="1" noChangeArrowheads="1"/>
        </xdr:cNvPicPr>
      </xdr:nvPicPr>
      <xdr:blipFill>
        <a:blip xmlns:r="http://schemas.openxmlformats.org/officeDocument/2006/relationships" r:embed="rId4"/>
        <a:srcRect/>
        <a:stretch>
          <a:fillRect/>
        </a:stretch>
      </xdr:blipFill>
      <xdr:spPr bwMode="auto">
        <a:xfrm>
          <a:off x="857250" y="7686675"/>
          <a:ext cx="238125" cy="723900"/>
        </a:xfrm>
        <a:prstGeom prst="rect">
          <a:avLst/>
        </a:prstGeom>
        <a:noFill/>
        <a:ln w="9525">
          <a:noFill/>
          <a:round/>
          <a:headEnd/>
          <a:tailEnd/>
        </a:ln>
      </xdr:spPr>
    </xdr:pic>
    <xdr:clientData/>
  </xdr:twoCellAnchor>
  <xdr:twoCellAnchor editAs="oneCell">
    <xdr:from>
      <xdr:col>0</xdr:col>
      <xdr:colOff>1171575</xdr:colOff>
      <xdr:row>21</xdr:row>
      <xdr:rowOff>133350</xdr:rowOff>
    </xdr:from>
    <xdr:to>
      <xdr:col>0</xdr:col>
      <xdr:colOff>1447800</xdr:colOff>
      <xdr:row>23</xdr:row>
      <xdr:rowOff>228600</xdr:rowOff>
    </xdr:to>
    <xdr:pic>
      <xdr:nvPicPr>
        <xdr:cNvPr id="3286703" name="Afbeelding 1386"/>
        <xdr:cNvPicPr>
          <a:picLocks noChangeAspect="1" noChangeArrowheads="1"/>
        </xdr:cNvPicPr>
      </xdr:nvPicPr>
      <xdr:blipFill>
        <a:blip xmlns:r="http://schemas.openxmlformats.org/officeDocument/2006/relationships" r:embed="rId5"/>
        <a:srcRect/>
        <a:stretch>
          <a:fillRect/>
        </a:stretch>
      </xdr:blipFill>
      <xdr:spPr bwMode="auto">
        <a:xfrm>
          <a:off x="1171575" y="7705725"/>
          <a:ext cx="276225" cy="695325"/>
        </a:xfrm>
        <a:prstGeom prst="rect">
          <a:avLst/>
        </a:prstGeom>
        <a:noFill/>
        <a:ln w="9525">
          <a:noFill/>
          <a:round/>
          <a:headEnd/>
          <a:tailEnd/>
        </a:ln>
      </xdr:spPr>
    </xdr:pic>
    <xdr:clientData/>
  </xdr:twoCellAnchor>
  <xdr:twoCellAnchor editAs="oneCell">
    <xdr:from>
      <xdr:col>2</xdr:col>
      <xdr:colOff>285750</xdr:colOff>
      <xdr:row>15</xdr:row>
      <xdr:rowOff>66675</xdr:rowOff>
    </xdr:from>
    <xdr:to>
      <xdr:col>3</xdr:col>
      <xdr:colOff>200025</xdr:colOff>
      <xdr:row>15</xdr:row>
      <xdr:rowOff>857250</xdr:rowOff>
    </xdr:to>
    <xdr:pic>
      <xdr:nvPicPr>
        <xdr:cNvPr id="3286704" name="Picture 1820"/>
        <xdr:cNvPicPr>
          <a:picLocks noChangeAspect="1" noChangeArrowheads="1"/>
        </xdr:cNvPicPr>
      </xdr:nvPicPr>
      <xdr:blipFill>
        <a:blip xmlns:r="http://schemas.openxmlformats.org/officeDocument/2006/relationships" r:embed="rId6"/>
        <a:srcRect/>
        <a:stretch>
          <a:fillRect/>
        </a:stretch>
      </xdr:blipFill>
      <xdr:spPr bwMode="auto">
        <a:xfrm>
          <a:off x="3152775" y="4914900"/>
          <a:ext cx="790575" cy="790575"/>
        </a:xfrm>
        <a:prstGeom prst="rect">
          <a:avLst/>
        </a:prstGeom>
        <a:noFill/>
        <a:ln w="9525">
          <a:noFill/>
          <a:miter lim="800000"/>
          <a:headEnd/>
          <a:tailEnd/>
        </a:ln>
      </xdr:spPr>
    </xdr:pic>
    <xdr:clientData/>
  </xdr:twoCellAnchor>
  <xdr:twoCellAnchor editAs="oneCell">
    <xdr:from>
      <xdr:col>4</xdr:col>
      <xdr:colOff>0</xdr:colOff>
      <xdr:row>17</xdr:row>
      <xdr:rowOff>114300</xdr:rowOff>
    </xdr:from>
    <xdr:to>
      <xdr:col>5</xdr:col>
      <xdr:colOff>390525</xdr:colOff>
      <xdr:row>19</xdr:row>
      <xdr:rowOff>152400</xdr:rowOff>
    </xdr:to>
    <xdr:pic>
      <xdr:nvPicPr>
        <xdr:cNvPr id="3286705" name="Picture 1822"/>
        <xdr:cNvPicPr>
          <a:picLocks noChangeAspect="1" noChangeArrowheads="1"/>
        </xdr:cNvPicPr>
      </xdr:nvPicPr>
      <xdr:blipFill>
        <a:blip xmlns:r="http://schemas.openxmlformats.org/officeDocument/2006/relationships" r:embed="rId7"/>
        <a:srcRect/>
        <a:stretch>
          <a:fillRect/>
        </a:stretch>
      </xdr:blipFill>
      <xdr:spPr bwMode="auto">
        <a:xfrm>
          <a:off x="4362450" y="6219825"/>
          <a:ext cx="1104900" cy="609600"/>
        </a:xfrm>
        <a:prstGeom prst="rect">
          <a:avLst/>
        </a:prstGeom>
        <a:noFill/>
        <a:ln w="9525">
          <a:noFill/>
          <a:miter lim="800000"/>
          <a:headEnd/>
          <a:tailEnd/>
        </a:ln>
      </xdr:spPr>
    </xdr:pic>
    <xdr:clientData/>
  </xdr:twoCellAnchor>
  <xdr:twoCellAnchor editAs="oneCell">
    <xdr:from>
      <xdr:col>3</xdr:col>
      <xdr:colOff>276225</xdr:colOff>
      <xdr:row>15</xdr:row>
      <xdr:rowOff>247650</xdr:rowOff>
    </xdr:from>
    <xdr:to>
      <xdr:col>4</xdr:col>
      <xdr:colOff>123825</xdr:colOff>
      <xdr:row>15</xdr:row>
      <xdr:rowOff>676275</xdr:rowOff>
    </xdr:to>
    <xdr:pic>
      <xdr:nvPicPr>
        <xdr:cNvPr id="3286706" name="Picture 1960"/>
        <xdr:cNvPicPr>
          <a:picLocks noChangeAspect="1" noChangeArrowheads="1"/>
        </xdr:cNvPicPr>
      </xdr:nvPicPr>
      <xdr:blipFill>
        <a:blip xmlns:r="http://schemas.openxmlformats.org/officeDocument/2006/relationships" r:embed="rId8"/>
        <a:srcRect/>
        <a:stretch>
          <a:fillRect/>
        </a:stretch>
      </xdr:blipFill>
      <xdr:spPr bwMode="auto">
        <a:xfrm>
          <a:off x="4019550" y="5095875"/>
          <a:ext cx="466725" cy="428625"/>
        </a:xfrm>
        <a:prstGeom prst="rect">
          <a:avLst/>
        </a:prstGeom>
        <a:noFill/>
        <a:ln w="9525">
          <a:noFill/>
          <a:miter lim="800000"/>
          <a:headEnd/>
          <a:tailEnd/>
        </a:ln>
      </xdr:spPr>
    </xdr:pic>
    <xdr:clientData/>
  </xdr:twoCellAnchor>
  <xdr:twoCellAnchor editAs="oneCell">
    <xdr:from>
      <xdr:col>4</xdr:col>
      <xdr:colOff>114300</xdr:colOff>
      <xdr:row>15</xdr:row>
      <xdr:rowOff>238125</xdr:rowOff>
    </xdr:from>
    <xdr:to>
      <xdr:col>4</xdr:col>
      <xdr:colOff>581025</xdr:colOff>
      <xdr:row>15</xdr:row>
      <xdr:rowOff>666750</xdr:rowOff>
    </xdr:to>
    <xdr:pic>
      <xdr:nvPicPr>
        <xdr:cNvPr id="3286707" name="Picture 1960"/>
        <xdr:cNvPicPr>
          <a:picLocks noChangeAspect="1" noChangeArrowheads="1"/>
        </xdr:cNvPicPr>
      </xdr:nvPicPr>
      <xdr:blipFill>
        <a:blip xmlns:r="http://schemas.openxmlformats.org/officeDocument/2006/relationships" r:embed="rId9"/>
        <a:srcRect/>
        <a:stretch>
          <a:fillRect/>
        </a:stretch>
      </xdr:blipFill>
      <xdr:spPr bwMode="auto">
        <a:xfrm>
          <a:off x="4476750" y="5086350"/>
          <a:ext cx="466725" cy="428625"/>
        </a:xfrm>
        <a:prstGeom prst="rect">
          <a:avLst/>
        </a:prstGeom>
        <a:noFill/>
        <a:ln w="9525">
          <a:noFill/>
          <a:miter lim="800000"/>
          <a:headEnd/>
          <a:tailEnd/>
        </a:ln>
      </xdr:spPr>
    </xdr:pic>
    <xdr:clientData/>
  </xdr:twoCellAnchor>
  <xdr:twoCellAnchor editAs="oneCell">
    <xdr:from>
      <xdr:col>10</xdr:col>
      <xdr:colOff>657225</xdr:colOff>
      <xdr:row>20</xdr:row>
      <xdr:rowOff>104775</xdr:rowOff>
    </xdr:from>
    <xdr:to>
      <xdr:col>10</xdr:col>
      <xdr:colOff>838200</xdr:colOff>
      <xdr:row>21</xdr:row>
      <xdr:rowOff>57150</xdr:rowOff>
    </xdr:to>
    <xdr:pic>
      <xdr:nvPicPr>
        <xdr:cNvPr id="3286708" name="Picture 3293"/>
        <xdr:cNvPicPr>
          <a:picLocks noChangeAspect="1" noChangeArrowheads="1"/>
        </xdr:cNvPicPr>
      </xdr:nvPicPr>
      <xdr:blipFill>
        <a:blip xmlns:r="http://schemas.openxmlformats.org/officeDocument/2006/relationships" r:embed="rId10"/>
        <a:srcRect/>
        <a:stretch>
          <a:fillRect/>
        </a:stretch>
      </xdr:blipFill>
      <xdr:spPr bwMode="auto">
        <a:xfrm>
          <a:off x="9744075" y="7343775"/>
          <a:ext cx="180975" cy="285750"/>
        </a:xfrm>
        <a:prstGeom prst="rect">
          <a:avLst/>
        </a:prstGeom>
        <a:noFill/>
        <a:ln w="9525">
          <a:noFill/>
          <a:miter lim="800000"/>
          <a:headEnd/>
          <a:tailEnd/>
        </a:ln>
      </xdr:spPr>
    </xdr:pic>
    <xdr:clientData/>
  </xdr:twoCellAnchor>
  <xdr:twoCellAnchor editAs="oneCell">
    <xdr:from>
      <xdr:col>10</xdr:col>
      <xdr:colOff>533400</xdr:colOff>
      <xdr:row>22</xdr:row>
      <xdr:rowOff>38100</xdr:rowOff>
    </xdr:from>
    <xdr:to>
      <xdr:col>10</xdr:col>
      <xdr:colOff>933450</xdr:colOff>
      <xdr:row>22</xdr:row>
      <xdr:rowOff>333375</xdr:rowOff>
    </xdr:to>
    <xdr:pic>
      <xdr:nvPicPr>
        <xdr:cNvPr id="3286709" name="Picture 3295"/>
        <xdr:cNvPicPr>
          <a:picLocks noChangeAspect="1" noChangeArrowheads="1"/>
        </xdr:cNvPicPr>
      </xdr:nvPicPr>
      <xdr:blipFill>
        <a:blip xmlns:r="http://schemas.openxmlformats.org/officeDocument/2006/relationships" r:embed="rId11"/>
        <a:srcRect/>
        <a:stretch>
          <a:fillRect/>
        </a:stretch>
      </xdr:blipFill>
      <xdr:spPr bwMode="auto">
        <a:xfrm>
          <a:off x="9620250" y="7810500"/>
          <a:ext cx="400050" cy="295275"/>
        </a:xfrm>
        <a:prstGeom prst="rect">
          <a:avLst/>
        </a:prstGeom>
        <a:noFill/>
        <a:ln w="9525">
          <a:noFill/>
          <a:miter lim="800000"/>
          <a:headEnd/>
          <a:tailEnd/>
        </a:ln>
      </xdr:spPr>
    </xdr:pic>
    <xdr:clientData/>
  </xdr:twoCellAnchor>
  <xdr:twoCellAnchor editAs="oneCell">
    <xdr:from>
      <xdr:col>11</xdr:col>
      <xdr:colOff>66675</xdr:colOff>
      <xdr:row>15</xdr:row>
      <xdr:rowOff>381000</xdr:rowOff>
    </xdr:from>
    <xdr:to>
      <xdr:col>11</xdr:col>
      <xdr:colOff>904875</xdr:colOff>
      <xdr:row>15</xdr:row>
      <xdr:rowOff>838200</xdr:rowOff>
    </xdr:to>
    <xdr:pic>
      <xdr:nvPicPr>
        <xdr:cNvPr id="3286710" name="Picture 2"/>
        <xdr:cNvPicPr>
          <a:picLocks noChangeAspect="1" noChangeArrowheads="1"/>
        </xdr:cNvPicPr>
      </xdr:nvPicPr>
      <xdr:blipFill>
        <a:blip xmlns:r="http://schemas.openxmlformats.org/officeDocument/2006/relationships" r:embed="rId12"/>
        <a:srcRect/>
        <a:stretch>
          <a:fillRect/>
        </a:stretch>
      </xdr:blipFill>
      <xdr:spPr bwMode="auto">
        <a:xfrm>
          <a:off x="10906125" y="5229225"/>
          <a:ext cx="838200" cy="457200"/>
        </a:xfrm>
        <a:prstGeom prst="rect">
          <a:avLst/>
        </a:prstGeom>
        <a:noFill/>
        <a:ln w="9525">
          <a:noFill/>
          <a:miter lim="800000"/>
          <a:headEnd/>
          <a:tailEnd/>
        </a:ln>
      </xdr:spPr>
    </xdr:pic>
    <xdr:clientData/>
  </xdr:twoCellAnchor>
  <xdr:twoCellAnchor editAs="oneCell">
    <xdr:from>
      <xdr:col>11</xdr:col>
      <xdr:colOff>104775</xdr:colOff>
      <xdr:row>16</xdr:row>
      <xdr:rowOff>219075</xdr:rowOff>
    </xdr:from>
    <xdr:to>
      <xdr:col>11</xdr:col>
      <xdr:colOff>962025</xdr:colOff>
      <xdr:row>17</xdr:row>
      <xdr:rowOff>228600</xdr:rowOff>
    </xdr:to>
    <xdr:pic>
      <xdr:nvPicPr>
        <xdr:cNvPr id="3286711" name="Picture 6"/>
        <xdr:cNvPicPr>
          <a:picLocks noChangeAspect="1" noChangeArrowheads="1"/>
        </xdr:cNvPicPr>
      </xdr:nvPicPr>
      <xdr:blipFill>
        <a:blip xmlns:r="http://schemas.openxmlformats.org/officeDocument/2006/relationships" r:embed="rId13"/>
        <a:srcRect/>
        <a:stretch>
          <a:fillRect/>
        </a:stretch>
      </xdr:blipFill>
      <xdr:spPr bwMode="auto">
        <a:xfrm>
          <a:off x="10944225" y="6105525"/>
          <a:ext cx="857250" cy="228600"/>
        </a:xfrm>
        <a:prstGeom prst="rect">
          <a:avLst/>
        </a:prstGeom>
        <a:noFill/>
        <a:ln w="9525">
          <a:noFill/>
          <a:miter lim="800000"/>
          <a:headEnd/>
          <a:tailEnd/>
        </a:ln>
      </xdr:spPr>
    </xdr:pic>
    <xdr:clientData/>
  </xdr:twoCellAnchor>
  <xdr:twoCellAnchor editAs="oneCell">
    <xdr:from>
      <xdr:col>13</xdr:col>
      <xdr:colOff>200025</xdr:colOff>
      <xdr:row>15</xdr:row>
      <xdr:rowOff>390525</xdr:rowOff>
    </xdr:from>
    <xdr:to>
      <xdr:col>15</xdr:col>
      <xdr:colOff>19050</xdr:colOff>
      <xdr:row>15</xdr:row>
      <xdr:rowOff>857250</xdr:rowOff>
    </xdr:to>
    <xdr:pic>
      <xdr:nvPicPr>
        <xdr:cNvPr id="3286712" name="Picture 4"/>
        <xdr:cNvPicPr>
          <a:picLocks noChangeAspect="1" noChangeArrowheads="1"/>
        </xdr:cNvPicPr>
      </xdr:nvPicPr>
      <xdr:blipFill>
        <a:blip xmlns:r="http://schemas.openxmlformats.org/officeDocument/2006/relationships" r:embed="rId14"/>
        <a:srcRect/>
        <a:stretch>
          <a:fillRect/>
        </a:stretch>
      </xdr:blipFill>
      <xdr:spPr bwMode="auto">
        <a:xfrm>
          <a:off x="13077825" y="5238750"/>
          <a:ext cx="1162050" cy="466725"/>
        </a:xfrm>
        <a:prstGeom prst="rect">
          <a:avLst/>
        </a:prstGeom>
        <a:noFill/>
        <a:ln w="9525">
          <a:noFill/>
          <a:miter lim="800000"/>
          <a:headEnd/>
          <a:tailEnd/>
        </a:ln>
      </xdr:spPr>
    </xdr:pic>
    <xdr:clientData/>
  </xdr:twoCellAnchor>
  <xdr:twoCellAnchor editAs="oneCell">
    <xdr:from>
      <xdr:col>13</xdr:col>
      <xdr:colOff>276225</xdr:colOff>
      <xdr:row>16</xdr:row>
      <xdr:rowOff>180975</xdr:rowOff>
    </xdr:from>
    <xdr:to>
      <xdr:col>15</xdr:col>
      <xdr:colOff>104775</xdr:colOff>
      <xdr:row>17</xdr:row>
      <xdr:rowOff>238125</xdr:rowOff>
    </xdr:to>
    <xdr:pic>
      <xdr:nvPicPr>
        <xdr:cNvPr id="3286713" name="Picture 8"/>
        <xdr:cNvPicPr>
          <a:picLocks noChangeAspect="1" noChangeArrowheads="1"/>
        </xdr:cNvPicPr>
      </xdr:nvPicPr>
      <xdr:blipFill>
        <a:blip xmlns:r="http://schemas.openxmlformats.org/officeDocument/2006/relationships" r:embed="rId15"/>
        <a:srcRect/>
        <a:stretch>
          <a:fillRect/>
        </a:stretch>
      </xdr:blipFill>
      <xdr:spPr bwMode="auto">
        <a:xfrm>
          <a:off x="13154025" y="6096000"/>
          <a:ext cx="1171575" cy="247650"/>
        </a:xfrm>
        <a:prstGeom prst="rect">
          <a:avLst/>
        </a:prstGeom>
        <a:noFill/>
        <a:ln w="9525">
          <a:noFill/>
          <a:miter lim="800000"/>
          <a:headEnd/>
          <a:tailEnd/>
        </a:ln>
      </xdr:spPr>
    </xdr:pic>
    <xdr:clientData/>
  </xdr:twoCellAnchor>
  <xdr:twoCellAnchor editAs="oneCell">
    <xdr:from>
      <xdr:col>0</xdr:col>
      <xdr:colOff>38100</xdr:colOff>
      <xdr:row>8</xdr:row>
      <xdr:rowOff>381000</xdr:rowOff>
    </xdr:from>
    <xdr:to>
      <xdr:col>0</xdr:col>
      <xdr:colOff>1752600</xdr:colOff>
      <xdr:row>9</xdr:row>
      <xdr:rowOff>161925</xdr:rowOff>
    </xdr:to>
    <xdr:pic>
      <xdr:nvPicPr>
        <xdr:cNvPr id="3286714" name="Picture 5967"/>
        <xdr:cNvPicPr>
          <a:picLocks noChangeAspect="1" noChangeArrowheads="1"/>
        </xdr:cNvPicPr>
      </xdr:nvPicPr>
      <xdr:blipFill>
        <a:blip xmlns:r="http://schemas.openxmlformats.org/officeDocument/2006/relationships" r:embed="rId16"/>
        <a:srcRect/>
        <a:stretch>
          <a:fillRect/>
        </a:stretch>
      </xdr:blipFill>
      <xdr:spPr bwMode="auto">
        <a:xfrm>
          <a:off x="38100" y="2266950"/>
          <a:ext cx="1714500" cy="752475"/>
        </a:xfrm>
        <a:prstGeom prst="rect">
          <a:avLst/>
        </a:prstGeom>
        <a:noFill/>
        <a:ln w="9525">
          <a:noFill/>
          <a:round/>
          <a:headEnd/>
          <a:tailEnd/>
        </a:ln>
      </xdr:spPr>
    </xdr:pic>
    <xdr:clientData/>
  </xdr:twoCellAnchor>
  <xdr:twoCellAnchor editAs="oneCell">
    <xdr:from>
      <xdr:col>10</xdr:col>
      <xdr:colOff>114300</xdr:colOff>
      <xdr:row>8</xdr:row>
      <xdr:rowOff>323850</xdr:rowOff>
    </xdr:from>
    <xdr:to>
      <xdr:col>10</xdr:col>
      <xdr:colOff>1647825</xdr:colOff>
      <xdr:row>9</xdr:row>
      <xdr:rowOff>200025</xdr:rowOff>
    </xdr:to>
    <xdr:pic>
      <xdr:nvPicPr>
        <xdr:cNvPr id="3286715" name="Picture 5988"/>
        <xdr:cNvPicPr>
          <a:picLocks noChangeAspect="1" noChangeArrowheads="1"/>
        </xdr:cNvPicPr>
      </xdr:nvPicPr>
      <xdr:blipFill>
        <a:blip xmlns:r="http://schemas.openxmlformats.org/officeDocument/2006/relationships" r:embed="rId2"/>
        <a:srcRect/>
        <a:stretch>
          <a:fillRect/>
        </a:stretch>
      </xdr:blipFill>
      <xdr:spPr bwMode="auto">
        <a:xfrm>
          <a:off x="9201150" y="2209800"/>
          <a:ext cx="1533525" cy="847725"/>
        </a:xfrm>
        <a:prstGeom prst="rect">
          <a:avLst/>
        </a:prstGeom>
        <a:noFill/>
        <a:ln w="9525">
          <a:noFill/>
          <a:round/>
          <a:headEnd/>
          <a:tailEnd/>
        </a:ln>
      </xdr:spPr>
    </xdr:pic>
    <xdr:clientData/>
  </xdr:twoCellAnchor>
  <xdr:twoCellAnchor editAs="oneCell">
    <xdr:from>
      <xdr:col>0</xdr:col>
      <xdr:colOff>314325</xdr:colOff>
      <xdr:row>21</xdr:row>
      <xdr:rowOff>104775</xdr:rowOff>
    </xdr:from>
    <xdr:to>
      <xdr:col>0</xdr:col>
      <xdr:colOff>800100</xdr:colOff>
      <xdr:row>23</xdr:row>
      <xdr:rowOff>171450</xdr:rowOff>
    </xdr:to>
    <xdr:pic>
      <xdr:nvPicPr>
        <xdr:cNvPr id="3286716" name="Afbeelding 1088"/>
        <xdr:cNvPicPr>
          <a:picLocks noChangeAspect="1" noChangeArrowheads="1"/>
        </xdr:cNvPicPr>
      </xdr:nvPicPr>
      <xdr:blipFill>
        <a:blip xmlns:r="http://schemas.openxmlformats.org/officeDocument/2006/relationships" r:embed="rId3"/>
        <a:srcRect/>
        <a:stretch>
          <a:fillRect/>
        </a:stretch>
      </xdr:blipFill>
      <xdr:spPr bwMode="auto">
        <a:xfrm>
          <a:off x="314325" y="7677150"/>
          <a:ext cx="485775" cy="666750"/>
        </a:xfrm>
        <a:prstGeom prst="rect">
          <a:avLst/>
        </a:prstGeom>
        <a:noFill/>
        <a:ln w="9525">
          <a:noFill/>
          <a:round/>
          <a:headEnd/>
          <a:tailEnd/>
        </a:ln>
      </xdr:spPr>
    </xdr:pic>
    <xdr:clientData/>
  </xdr:twoCellAnchor>
  <xdr:twoCellAnchor editAs="oneCell">
    <xdr:from>
      <xdr:col>0</xdr:col>
      <xdr:colOff>857250</xdr:colOff>
      <xdr:row>21</xdr:row>
      <xdr:rowOff>114300</xdr:rowOff>
    </xdr:from>
    <xdr:to>
      <xdr:col>0</xdr:col>
      <xdr:colOff>1095375</xdr:colOff>
      <xdr:row>23</xdr:row>
      <xdr:rowOff>238125</xdr:rowOff>
    </xdr:to>
    <xdr:pic>
      <xdr:nvPicPr>
        <xdr:cNvPr id="3286717" name="Afbeelding 2"/>
        <xdr:cNvPicPr>
          <a:picLocks noChangeAspect="1" noChangeArrowheads="1"/>
        </xdr:cNvPicPr>
      </xdr:nvPicPr>
      <xdr:blipFill>
        <a:blip xmlns:r="http://schemas.openxmlformats.org/officeDocument/2006/relationships" r:embed="rId4"/>
        <a:srcRect/>
        <a:stretch>
          <a:fillRect/>
        </a:stretch>
      </xdr:blipFill>
      <xdr:spPr bwMode="auto">
        <a:xfrm>
          <a:off x="857250" y="7686675"/>
          <a:ext cx="238125" cy="723900"/>
        </a:xfrm>
        <a:prstGeom prst="rect">
          <a:avLst/>
        </a:prstGeom>
        <a:noFill/>
        <a:ln w="9525">
          <a:noFill/>
          <a:round/>
          <a:headEnd/>
          <a:tailEnd/>
        </a:ln>
      </xdr:spPr>
    </xdr:pic>
    <xdr:clientData/>
  </xdr:twoCellAnchor>
  <xdr:twoCellAnchor editAs="oneCell">
    <xdr:from>
      <xdr:col>0</xdr:col>
      <xdr:colOff>1171575</xdr:colOff>
      <xdr:row>21</xdr:row>
      <xdr:rowOff>133350</xdr:rowOff>
    </xdr:from>
    <xdr:to>
      <xdr:col>0</xdr:col>
      <xdr:colOff>1447800</xdr:colOff>
      <xdr:row>23</xdr:row>
      <xdr:rowOff>228600</xdr:rowOff>
    </xdr:to>
    <xdr:pic>
      <xdr:nvPicPr>
        <xdr:cNvPr id="3286718" name="Afbeelding 1386"/>
        <xdr:cNvPicPr>
          <a:picLocks noChangeAspect="1" noChangeArrowheads="1"/>
        </xdr:cNvPicPr>
      </xdr:nvPicPr>
      <xdr:blipFill>
        <a:blip xmlns:r="http://schemas.openxmlformats.org/officeDocument/2006/relationships" r:embed="rId5"/>
        <a:srcRect/>
        <a:stretch>
          <a:fillRect/>
        </a:stretch>
      </xdr:blipFill>
      <xdr:spPr bwMode="auto">
        <a:xfrm>
          <a:off x="1171575" y="7705725"/>
          <a:ext cx="276225" cy="695325"/>
        </a:xfrm>
        <a:prstGeom prst="rect">
          <a:avLst/>
        </a:prstGeom>
        <a:noFill/>
        <a:ln w="9525">
          <a:noFill/>
          <a:round/>
          <a:headEnd/>
          <a:tailEnd/>
        </a:ln>
      </xdr:spPr>
    </xdr:pic>
    <xdr:clientData/>
  </xdr:twoCellAnchor>
  <xdr:twoCellAnchor editAs="oneCell">
    <xdr:from>
      <xdr:col>2</xdr:col>
      <xdr:colOff>285750</xdr:colOff>
      <xdr:row>15</xdr:row>
      <xdr:rowOff>66675</xdr:rowOff>
    </xdr:from>
    <xdr:to>
      <xdr:col>3</xdr:col>
      <xdr:colOff>200025</xdr:colOff>
      <xdr:row>15</xdr:row>
      <xdr:rowOff>857250</xdr:rowOff>
    </xdr:to>
    <xdr:pic>
      <xdr:nvPicPr>
        <xdr:cNvPr id="3286719" name="Picture 1820"/>
        <xdr:cNvPicPr>
          <a:picLocks noChangeAspect="1" noChangeArrowheads="1"/>
        </xdr:cNvPicPr>
      </xdr:nvPicPr>
      <xdr:blipFill>
        <a:blip xmlns:r="http://schemas.openxmlformats.org/officeDocument/2006/relationships" r:embed="rId6"/>
        <a:srcRect/>
        <a:stretch>
          <a:fillRect/>
        </a:stretch>
      </xdr:blipFill>
      <xdr:spPr bwMode="auto">
        <a:xfrm>
          <a:off x="3152775" y="4914900"/>
          <a:ext cx="790575" cy="790575"/>
        </a:xfrm>
        <a:prstGeom prst="rect">
          <a:avLst/>
        </a:prstGeom>
        <a:noFill/>
        <a:ln w="9525">
          <a:noFill/>
          <a:miter lim="800000"/>
          <a:headEnd/>
          <a:tailEnd/>
        </a:ln>
      </xdr:spPr>
    </xdr:pic>
    <xdr:clientData/>
  </xdr:twoCellAnchor>
  <xdr:twoCellAnchor editAs="oneCell">
    <xdr:from>
      <xdr:col>4</xdr:col>
      <xdr:colOff>0</xdr:colOff>
      <xdr:row>17</xdr:row>
      <xdr:rowOff>114300</xdr:rowOff>
    </xdr:from>
    <xdr:to>
      <xdr:col>5</xdr:col>
      <xdr:colOff>390525</xdr:colOff>
      <xdr:row>19</xdr:row>
      <xdr:rowOff>152400</xdr:rowOff>
    </xdr:to>
    <xdr:pic>
      <xdr:nvPicPr>
        <xdr:cNvPr id="3286720" name="Picture 1822"/>
        <xdr:cNvPicPr>
          <a:picLocks noChangeAspect="1" noChangeArrowheads="1"/>
        </xdr:cNvPicPr>
      </xdr:nvPicPr>
      <xdr:blipFill>
        <a:blip xmlns:r="http://schemas.openxmlformats.org/officeDocument/2006/relationships" r:embed="rId7"/>
        <a:srcRect/>
        <a:stretch>
          <a:fillRect/>
        </a:stretch>
      </xdr:blipFill>
      <xdr:spPr bwMode="auto">
        <a:xfrm>
          <a:off x="4362450" y="6219825"/>
          <a:ext cx="1104900" cy="609600"/>
        </a:xfrm>
        <a:prstGeom prst="rect">
          <a:avLst/>
        </a:prstGeom>
        <a:noFill/>
        <a:ln w="9525">
          <a:noFill/>
          <a:miter lim="800000"/>
          <a:headEnd/>
          <a:tailEnd/>
        </a:ln>
      </xdr:spPr>
    </xdr:pic>
    <xdr:clientData/>
  </xdr:twoCellAnchor>
  <xdr:twoCellAnchor editAs="oneCell">
    <xdr:from>
      <xdr:col>3</xdr:col>
      <xdr:colOff>276225</xdr:colOff>
      <xdr:row>15</xdr:row>
      <xdr:rowOff>247650</xdr:rowOff>
    </xdr:from>
    <xdr:to>
      <xdr:col>4</xdr:col>
      <xdr:colOff>123825</xdr:colOff>
      <xdr:row>15</xdr:row>
      <xdr:rowOff>676275</xdr:rowOff>
    </xdr:to>
    <xdr:pic>
      <xdr:nvPicPr>
        <xdr:cNvPr id="3286721" name="Picture 1960"/>
        <xdr:cNvPicPr>
          <a:picLocks noChangeAspect="1" noChangeArrowheads="1"/>
        </xdr:cNvPicPr>
      </xdr:nvPicPr>
      <xdr:blipFill>
        <a:blip xmlns:r="http://schemas.openxmlformats.org/officeDocument/2006/relationships" r:embed="rId8"/>
        <a:srcRect/>
        <a:stretch>
          <a:fillRect/>
        </a:stretch>
      </xdr:blipFill>
      <xdr:spPr bwMode="auto">
        <a:xfrm>
          <a:off x="4019550" y="5095875"/>
          <a:ext cx="466725" cy="428625"/>
        </a:xfrm>
        <a:prstGeom prst="rect">
          <a:avLst/>
        </a:prstGeom>
        <a:noFill/>
        <a:ln w="9525">
          <a:noFill/>
          <a:miter lim="800000"/>
          <a:headEnd/>
          <a:tailEnd/>
        </a:ln>
      </xdr:spPr>
    </xdr:pic>
    <xdr:clientData/>
  </xdr:twoCellAnchor>
  <xdr:twoCellAnchor editAs="oneCell">
    <xdr:from>
      <xdr:col>4</xdr:col>
      <xdr:colOff>114300</xdr:colOff>
      <xdr:row>15</xdr:row>
      <xdr:rowOff>238125</xdr:rowOff>
    </xdr:from>
    <xdr:to>
      <xdr:col>4</xdr:col>
      <xdr:colOff>581025</xdr:colOff>
      <xdr:row>15</xdr:row>
      <xdr:rowOff>666750</xdr:rowOff>
    </xdr:to>
    <xdr:pic>
      <xdr:nvPicPr>
        <xdr:cNvPr id="3286722" name="Picture 1960"/>
        <xdr:cNvPicPr>
          <a:picLocks noChangeAspect="1" noChangeArrowheads="1"/>
        </xdr:cNvPicPr>
      </xdr:nvPicPr>
      <xdr:blipFill>
        <a:blip xmlns:r="http://schemas.openxmlformats.org/officeDocument/2006/relationships" r:embed="rId9"/>
        <a:srcRect/>
        <a:stretch>
          <a:fillRect/>
        </a:stretch>
      </xdr:blipFill>
      <xdr:spPr bwMode="auto">
        <a:xfrm>
          <a:off x="4476750" y="5086350"/>
          <a:ext cx="466725" cy="428625"/>
        </a:xfrm>
        <a:prstGeom prst="rect">
          <a:avLst/>
        </a:prstGeom>
        <a:noFill/>
        <a:ln w="9525">
          <a:noFill/>
          <a:miter lim="800000"/>
          <a:headEnd/>
          <a:tailEnd/>
        </a:ln>
      </xdr:spPr>
    </xdr:pic>
    <xdr:clientData/>
  </xdr:twoCellAnchor>
  <xdr:twoCellAnchor editAs="oneCell">
    <xdr:from>
      <xdr:col>10</xdr:col>
      <xdr:colOff>657225</xdr:colOff>
      <xdr:row>20</xdr:row>
      <xdr:rowOff>104775</xdr:rowOff>
    </xdr:from>
    <xdr:to>
      <xdr:col>10</xdr:col>
      <xdr:colOff>838200</xdr:colOff>
      <xdr:row>21</xdr:row>
      <xdr:rowOff>57150</xdr:rowOff>
    </xdr:to>
    <xdr:pic>
      <xdr:nvPicPr>
        <xdr:cNvPr id="3286723" name="Picture 3293"/>
        <xdr:cNvPicPr>
          <a:picLocks noChangeAspect="1" noChangeArrowheads="1"/>
        </xdr:cNvPicPr>
      </xdr:nvPicPr>
      <xdr:blipFill>
        <a:blip xmlns:r="http://schemas.openxmlformats.org/officeDocument/2006/relationships" r:embed="rId10"/>
        <a:srcRect/>
        <a:stretch>
          <a:fillRect/>
        </a:stretch>
      </xdr:blipFill>
      <xdr:spPr bwMode="auto">
        <a:xfrm>
          <a:off x="9744075" y="7343775"/>
          <a:ext cx="180975" cy="285750"/>
        </a:xfrm>
        <a:prstGeom prst="rect">
          <a:avLst/>
        </a:prstGeom>
        <a:noFill/>
        <a:ln w="9525">
          <a:noFill/>
          <a:miter lim="800000"/>
          <a:headEnd/>
          <a:tailEnd/>
        </a:ln>
      </xdr:spPr>
    </xdr:pic>
    <xdr:clientData/>
  </xdr:twoCellAnchor>
  <xdr:twoCellAnchor editAs="oneCell">
    <xdr:from>
      <xdr:col>10</xdr:col>
      <xdr:colOff>533400</xdr:colOff>
      <xdr:row>22</xdr:row>
      <xdr:rowOff>38100</xdr:rowOff>
    </xdr:from>
    <xdr:to>
      <xdr:col>10</xdr:col>
      <xdr:colOff>933450</xdr:colOff>
      <xdr:row>22</xdr:row>
      <xdr:rowOff>333375</xdr:rowOff>
    </xdr:to>
    <xdr:pic>
      <xdr:nvPicPr>
        <xdr:cNvPr id="3286724" name="Picture 3295"/>
        <xdr:cNvPicPr>
          <a:picLocks noChangeAspect="1" noChangeArrowheads="1"/>
        </xdr:cNvPicPr>
      </xdr:nvPicPr>
      <xdr:blipFill>
        <a:blip xmlns:r="http://schemas.openxmlformats.org/officeDocument/2006/relationships" r:embed="rId11"/>
        <a:srcRect/>
        <a:stretch>
          <a:fillRect/>
        </a:stretch>
      </xdr:blipFill>
      <xdr:spPr bwMode="auto">
        <a:xfrm>
          <a:off x="9620250" y="7810500"/>
          <a:ext cx="400050" cy="295275"/>
        </a:xfrm>
        <a:prstGeom prst="rect">
          <a:avLst/>
        </a:prstGeom>
        <a:noFill/>
        <a:ln w="9525">
          <a:noFill/>
          <a:miter lim="800000"/>
          <a:headEnd/>
          <a:tailEnd/>
        </a:ln>
      </xdr:spPr>
    </xdr:pic>
    <xdr:clientData/>
  </xdr:twoCellAnchor>
  <xdr:twoCellAnchor editAs="oneCell">
    <xdr:from>
      <xdr:col>11</xdr:col>
      <xdr:colOff>66675</xdr:colOff>
      <xdr:row>15</xdr:row>
      <xdr:rowOff>381000</xdr:rowOff>
    </xdr:from>
    <xdr:to>
      <xdr:col>11</xdr:col>
      <xdr:colOff>904875</xdr:colOff>
      <xdr:row>15</xdr:row>
      <xdr:rowOff>838200</xdr:rowOff>
    </xdr:to>
    <xdr:pic>
      <xdr:nvPicPr>
        <xdr:cNvPr id="3286725" name="Picture 2"/>
        <xdr:cNvPicPr>
          <a:picLocks noChangeAspect="1" noChangeArrowheads="1"/>
        </xdr:cNvPicPr>
      </xdr:nvPicPr>
      <xdr:blipFill>
        <a:blip xmlns:r="http://schemas.openxmlformats.org/officeDocument/2006/relationships" r:embed="rId12"/>
        <a:srcRect/>
        <a:stretch>
          <a:fillRect/>
        </a:stretch>
      </xdr:blipFill>
      <xdr:spPr bwMode="auto">
        <a:xfrm>
          <a:off x="10906125" y="5229225"/>
          <a:ext cx="838200" cy="457200"/>
        </a:xfrm>
        <a:prstGeom prst="rect">
          <a:avLst/>
        </a:prstGeom>
        <a:noFill/>
        <a:ln w="9525">
          <a:noFill/>
          <a:miter lim="800000"/>
          <a:headEnd/>
          <a:tailEnd/>
        </a:ln>
      </xdr:spPr>
    </xdr:pic>
    <xdr:clientData/>
  </xdr:twoCellAnchor>
  <xdr:twoCellAnchor editAs="oneCell">
    <xdr:from>
      <xdr:col>11</xdr:col>
      <xdr:colOff>104775</xdr:colOff>
      <xdr:row>16</xdr:row>
      <xdr:rowOff>219075</xdr:rowOff>
    </xdr:from>
    <xdr:to>
      <xdr:col>11</xdr:col>
      <xdr:colOff>962025</xdr:colOff>
      <xdr:row>17</xdr:row>
      <xdr:rowOff>228600</xdr:rowOff>
    </xdr:to>
    <xdr:pic>
      <xdr:nvPicPr>
        <xdr:cNvPr id="3286726" name="Picture 6"/>
        <xdr:cNvPicPr>
          <a:picLocks noChangeAspect="1" noChangeArrowheads="1"/>
        </xdr:cNvPicPr>
      </xdr:nvPicPr>
      <xdr:blipFill>
        <a:blip xmlns:r="http://schemas.openxmlformats.org/officeDocument/2006/relationships" r:embed="rId13"/>
        <a:srcRect/>
        <a:stretch>
          <a:fillRect/>
        </a:stretch>
      </xdr:blipFill>
      <xdr:spPr bwMode="auto">
        <a:xfrm>
          <a:off x="10944225" y="6105525"/>
          <a:ext cx="857250" cy="228600"/>
        </a:xfrm>
        <a:prstGeom prst="rect">
          <a:avLst/>
        </a:prstGeom>
        <a:noFill/>
        <a:ln w="9525">
          <a:noFill/>
          <a:miter lim="800000"/>
          <a:headEnd/>
          <a:tailEnd/>
        </a:ln>
      </xdr:spPr>
    </xdr:pic>
    <xdr:clientData/>
  </xdr:twoCellAnchor>
  <xdr:twoCellAnchor editAs="oneCell">
    <xdr:from>
      <xdr:col>13</xdr:col>
      <xdr:colOff>200025</xdr:colOff>
      <xdr:row>15</xdr:row>
      <xdr:rowOff>390525</xdr:rowOff>
    </xdr:from>
    <xdr:to>
      <xdr:col>15</xdr:col>
      <xdr:colOff>19050</xdr:colOff>
      <xdr:row>15</xdr:row>
      <xdr:rowOff>857250</xdr:rowOff>
    </xdr:to>
    <xdr:pic>
      <xdr:nvPicPr>
        <xdr:cNvPr id="3286727" name="Picture 4"/>
        <xdr:cNvPicPr>
          <a:picLocks noChangeAspect="1" noChangeArrowheads="1"/>
        </xdr:cNvPicPr>
      </xdr:nvPicPr>
      <xdr:blipFill>
        <a:blip xmlns:r="http://schemas.openxmlformats.org/officeDocument/2006/relationships" r:embed="rId14"/>
        <a:srcRect/>
        <a:stretch>
          <a:fillRect/>
        </a:stretch>
      </xdr:blipFill>
      <xdr:spPr bwMode="auto">
        <a:xfrm>
          <a:off x="13077825" y="5238750"/>
          <a:ext cx="1162050" cy="466725"/>
        </a:xfrm>
        <a:prstGeom prst="rect">
          <a:avLst/>
        </a:prstGeom>
        <a:noFill/>
        <a:ln w="9525">
          <a:noFill/>
          <a:miter lim="800000"/>
          <a:headEnd/>
          <a:tailEnd/>
        </a:ln>
      </xdr:spPr>
    </xdr:pic>
    <xdr:clientData/>
  </xdr:twoCellAnchor>
  <xdr:twoCellAnchor editAs="oneCell">
    <xdr:from>
      <xdr:col>13</xdr:col>
      <xdr:colOff>276225</xdr:colOff>
      <xdr:row>16</xdr:row>
      <xdr:rowOff>180975</xdr:rowOff>
    </xdr:from>
    <xdr:to>
      <xdr:col>15</xdr:col>
      <xdr:colOff>104775</xdr:colOff>
      <xdr:row>17</xdr:row>
      <xdr:rowOff>238125</xdr:rowOff>
    </xdr:to>
    <xdr:pic>
      <xdr:nvPicPr>
        <xdr:cNvPr id="3286728" name="Picture 8"/>
        <xdr:cNvPicPr>
          <a:picLocks noChangeAspect="1" noChangeArrowheads="1"/>
        </xdr:cNvPicPr>
      </xdr:nvPicPr>
      <xdr:blipFill>
        <a:blip xmlns:r="http://schemas.openxmlformats.org/officeDocument/2006/relationships" r:embed="rId15"/>
        <a:srcRect/>
        <a:stretch>
          <a:fillRect/>
        </a:stretch>
      </xdr:blipFill>
      <xdr:spPr bwMode="auto">
        <a:xfrm>
          <a:off x="13154025" y="6096000"/>
          <a:ext cx="1171575" cy="247650"/>
        </a:xfrm>
        <a:prstGeom prst="rect">
          <a:avLst/>
        </a:prstGeom>
        <a:noFill/>
        <a:ln w="9525">
          <a:noFill/>
          <a:miter lim="800000"/>
          <a:headEnd/>
          <a:tailEnd/>
        </a:ln>
      </xdr:spPr>
    </xdr:pic>
    <xdr:clientData/>
  </xdr:twoCellAnchor>
  <xdr:twoCellAnchor editAs="oneCell">
    <xdr:from>
      <xdr:col>10</xdr:col>
      <xdr:colOff>619125</xdr:colOff>
      <xdr:row>19</xdr:row>
      <xdr:rowOff>66675</xdr:rowOff>
    </xdr:from>
    <xdr:to>
      <xdr:col>10</xdr:col>
      <xdr:colOff>885825</xdr:colOff>
      <xdr:row>19</xdr:row>
      <xdr:rowOff>504825</xdr:rowOff>
    </xdr:to>
    <xdr:pic>
      <xdr:nvPicPr>
        <xdr:cNvPr id="3286729" name="Рисунок 38"/>
        <xdr:cNvPicPr>
          <a:picLocks noChangeAspect="1"/>
        </xdr:cNvPicPr>
      </xdr:nvPicPr>
      <xdr:blipFill>
        <a:blip xmlns:r="http://schemas.openxmlformats.org/officeDocument/2006/relationships" r:embed="rId17"/>
        <a:srcRect/>
        <a:stretch>
          <a:fillRect/>
        </a:stretch>
      </xdr:blipFill>
      <xdr:spPr bwMode="auto">
        <a:xfrm>
          <a:off x="9705975" y="6743700"/>
          <a:ext cx="266700" cy="4381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1028700</xdr:colOff>
      <xdr:row>21</xdr:row>
      <xdr:rowOff>0</xdr:rowOff>
    </xdr:from>
    <xdr:to>
      <xdr:col>9</xdr:col>
      <xdr:colOff>1028700</xdr:colOff>
      <xdr:row>23</xdr:row>
      <xdr:rowOff>0</xdr:rowOff>
    </xdr:to>
    <xdr:pic>
      <xdr:nvPicPr>
        <xdr:cNvPr id="3287327" name="Picture 79"/>
        <xdr:cNvPicPr>
          <a:picLocks noChangeAspect="1" noChangeArrowheads="1"/>
        </xdr:cNvPicPr>
      </xdr:nvPicPr>
      <xdr:blipFill>
        <a:blip xmlns:r="http://schemas.openxmlformats.org/officeDocument/2006/relationships" r:embed="rId1"/>
        <a:srcRect/>
        <a:stretch>
          <a:fillRect/>
        </a:stretch>
      </xdr:blipFill>
      <xdr:spPr bwMode="auto">
        <a:xfrm>
          <a:off x="9791700" y="5114925"/>
          <a:ext cx="0" cy="1295400"/>
        </a:xfrm>
        <a:prstGeom prst="rect">
          <a:avLst/>
        </a:prstGeom>
        <a:noFill/>
        <a:ln w="9525">
          <a:noFill/>
          <a:round/>
          <a:headEnd/>
          <a:tailEnd/>
        </a:ln>
      </xdr:spPr>
    </xdr:pic>
    <xdr:clientData/>
  </xdr:twoCellAnchor>
  <xdr:twoCellAnchor editAs="oneCell">
    <xdr:from>
      <xdr:col>0</xdr:col>
      <xdr:colOff>66675</xdr:colOff>
      <xdr:row>7</xdr:row>
      <xdr:rowOff>28575</xdr:rowOff>
    </xdr:from>
    <xdr:to>
      <xdr:col>0</xdr:col>
      <xdr:colOff>1123950</xdr:colOff>
      <xdr:row>9</xdr:row>
      <xdr:rowOff>333375</xdr:rowOff>
    </xdr:to>
    <xdr:pic>
      <xdr:nvPicPr>
        <xdr:cNvPr id="3287328" name="Picture 16"/>
        <xdr:cNvPicPr>
          <a:picLocks noChangeAspect="1" noChangeArrowheads="1"/>
        </xdr:cNvPicPr>
      </xdr:nvPicPr>
      <xdr:blipFill>
        <a:blip xmlns:r="http://schemas.openxmlformats.org/officeDocument/2006/relationships" r:embed="rId2"/>
        <a:srcRect/>
        <a:stretch>
          <a:fillRect/>
        </a:stretch>
      </xdr:blipFill>
      <xdr:spPr bwMode="auto">
        <a:xfrm>
          <a:off x="66675" y="1552575"/>
          <a:ext cx="1057275" cy="895350"/>
        </a:xfrm>
        <a:prstGeom prst="rect">
          <a:avLst/>
        </a:prstGeom>
        <a:noFill/>
        <a:ln w="9525">
          <a:noFill/>
          <a:miter lim="800000"/>
          <a:headEnd/>
          <a:tailEnd/>
        </a:ln>
      </xdr:spPr>
    </xdr:pic>
    <xdr:clientData/>
  </xdr:twoCellAnchor>
  <xdr:twoCellAnchor editAs="oneCell">
    <xdr:from>
      <xdr:col>0</xdr:col>
      <xdr:colOff>133350</xdr:colOff>
      <xdr:row>15</xdr:row>
      <xdr:rowOff>47625</xdr:rowOff>
    </xdr:from>
    <xdr:to>
      <xdr:col>0</xdr:col>
      <xdr:colOff>1133475</xdr:colOff>
      <xdr:row>17</xdr:row>
      <xdr:rowOff>361950</xdr:rowOff>
    </xdr:to>
    <xdr:pic>
      <xdr:nvPicPr>
        <xdr:cNvPr id="3287329" name="Picture 18"/>
        <xdr:cNvPicPr>
          <a:picLocks noChangeAspect="1" noChangeArrowheads="1"/>
        </xdr:cNvPicPr>
      </xdr:nvPicPr>
      <xdr:blipFill>
        <a:blip xmlns:r="http://schemas.openxmlformats.org/officeDocument/2006/relationships" r:embed="rId3"/>
        <a:srcRect/>
        <a:stretch>
          <a:fillRect/>
        </a:stretch>
      </xdr:blipFill>
      <xdr:spPr bwMode="auto">
        <a:xfrm>
          <a:off x="133350" y="3667125"/>
          <a:ext cx="1000125" cy="742950"/>
        </a:xfrm>
        <a:prstGeom prst="rect">
          <a:avLst/>
        </a:prstGeom>
        <a:noFill/>
        <a:ln w="9525">
          <a:noFill/>
          <a:miter lim="800000"/>
          <a:headEnd/>
          <a:tailEnd/>
        </a:ln>
      </xdr:spPr>
    </xdr:pic>
    <xdr:clientData/>
  </xdr:twoCellAnchor>
  <xdr:twoCellAnchor editAs="oneCell">
    <xdr:from>
      <xdr:col>0</xdr:col>
      <xdr:colOff>9525</xdr:colOff>
      <xdr:row>22</xdr:row>
      <xdr:rowOff>323850</xdr:rowOff>
    </xdr:from>
    <xdr:to>
      <xdr:col>0</xdr:col>
      <xdr:colOff>1228725</xdr:colOff>
      <xdr:row>22</xdr:row>
      <xdr:rowOff>933450</xdr:rowOff>
    </xdr:to>
    <xdr:pic>
      <xdr:nvPicPr>
        <xdr:cNvPr id="3287330" name="Picture 20"/>
        <xdr:cNvPicPr>
          <a:picLocks noChangeAspect="1" noChangeArrowheads="1"/>
        </xdr:cNvPicPr>
      </xdr:nvPicPr>
      <xdr:blipFill>
        <a:blip xmlns:r="http://schemas.openxmlformats.org/officeDocument/2006/relationships" r:embed="rId4"/>
        <a:srcRect/>
        <a:stretch>
          <a:fillRect/>
        </a:stretch>
      </xdr:blipFill>
      <xdr:spPr bwMode="auto">
        <a:xfrm>
          <a:off x="9525" y="5762625"/>
          <a:ext cx="1219200" cy="609600"/>
        </a:xfrm>
        <a:prstGeom prst="rect">
          <a:avLst/>
        </a:prstGeom>
        <a:noFill/>
        <a:ln w="9525">
          <a:noFill/>
          <a:miter lim="800000"/>
          <a:headEnd/>
          <a:tailEnd/>
        </a:ln>
      </xdr:spPr>
    </xdr:pic>
    <xdr:clientData/>
  </xdr:twoCellAnchor>
  <xdr:twoCellAnchor editAs="oneCell">
    <xdr:from>
      <xdr:col>0</xdr:col>
      <xdr:colOff>371475</xdr:colOff>
      <xdr:row>31</xdr:row>
      <xdr:rowOff>47625</xdr:rowOff>
    </xdr:from>
    <xdr:to>
      <xdr:col>0</xdr:col>
      <xdr:colOff>819150</xdr:colOff>
      <xdr:row>32</xdr:row>
      <xdr:rowOff>295275</xdr:rowOff>
    </xdr:to>
    <xdr:pic>
      <xdr:nvPicPr>
        <xdr:cNvPr id="3287331" name="Picture 24"/>
        <xdr:cNvPicPr>
          <a:picLocks noChangeAspect="1" noChangeArrowheads="1"/>
        </xdr:cNvPicPr>
      </xdr:nvPicPr>
      <xdr:blipFill>
        <a:blip xmlns:r="http://schemas.openxmlformats.org/officeDocument/2006/relationships" r:embed="rId5"/>
        <a:srcRect/>
        <a:stretch>
          <a:fillRect/>
        </a:stretch>
      </xdr:blipFill>
      <xdr:spPr bwMode="auto">
        <a:xfrm>
          <a:off x="371475" y="9391650"/>
          <a:ext cx="447675" cy="695325"/>
        </a:xfrm>
        <a:prstGeom prst="rect">
          <a:avLst/>
        </a:prstGeom>
        <a:noFill/>
        <a:ln w="9525">
          <a:noFill/>
          <a:miter lim="800000"/>
          <a:headEnd/>
          <a:tailEnd/>
        </a:ln>
      </xdr:spPr>
    </xdr:pic>
    <xdr:clientData/>
  </xdr:twoCellAnchor>
  <xdr:twoCellAnchor editAs="oneCell">
    <xdr:from>
      <xdr:col>0</xdr:col>
      <xdr:colOff>361950</xdr:colOff>
      <xdr:row>33</xdr:row>
      <xdr:rowOff>76200</xdr:rowOff>
    </xdr:from>
    <xdr:to>
      <xdr:col>0</xdr:col>
      <xdr:colOff>828675</xdr:colOff>
      <xdr:row>34</xdr:row>
      <xdr:rowOff>304800</xdr:rowOff>
    </xdr:to>
    <xdr:pic>
      <xdr:nvPicPr>
        <xdr:cNvPr id="3287332" name="Picture 26"/>
        <xdr:cNvPicPr>
          <a:picLocks noChangeAspect="1" noChangeArrowheads="1"/>
        </xdr:cNvPicPr>
      </xdr:nvPicPr>
      <xdr:blipFill>
        <a:blip xmlns:r="http://schemas.openxmlformats.org/officeDocument/2006/relationships" r:embed="rId6"/>
        <a:srcRect/>
        <a:stretch>
          <a:fillRect/>
        </a:stretch>
      </xdr:blipFill>
      <xdr:spPr bwMode="auto">
        <a:xfrm>
          <a:off x="361950" y="10258425"/>
          <a:ext cx="466725" cy="600075"/>
        </a:xfrm>
        <a:prstGeom prst="rect">
          <a:avLst/>
        </a:prstGeom>
        <a:noFill/>
        <a:ln w="9525">
          <a:noFill/>
          <a:miter lim="800000"/>
          <a:headEnd/>
          <a:tailEnd/>
        </a:ln>
      </xdr:spPr>
    </xdr:pic>
    <xdr:clientData/>
  </xdr:twoCellAnchor>
  <xdr:twoCellAnchor editAs="oneCell">
    <xdr:from>
      <xdr:col>0</xdr:col>
      <xdr:colOff>190500</xdr:colOff>
      <xdr:row>35</xdr:row>
      <xdr:rowOff>161925</xdr:rowOff>
    </xdr:from>
    <xdr:to>
      <xdr:col>0</xdr:col>
      <xdr:colOff>1038225</xdr:colOff>
      <xdr:row>36</xdr:row>
      <xdr:rowOff>200025</xdr:rowOff>
    </xdr:to>
    <xdr:pic>
      <xdr:nvPicPr>
        <xdr:cNvPr id="3287333" name="Picture 28"/>
        <xdr:cNvPicPr>
          <a:picLocks noChangeAspect="1" noChangeArrowheads="1"/>
        </xdr:cNvPicPr>
      </xdr:nvPicPr>
      <xdr:blipFill>
        <a:blip xmlns:r="http://schemas.openxmlformats.org/officeDocument/2006/relationships" r:embed="rId7"/>
        <a:srcRect/>
        <a:stretch>
          <a:fillRect/>
        </a:stretch>
      </xdr:blipFill>
      <xdr:spPr bwMode="auto">
        <a:xfrm>
          <a:off x="190500" y="11087100"/>
          <a:ext cx="847725" cy="400050"/>
        </a:xfrm>
        <a:prstGeom prst="rect">
          <a:avLst/>
        </a:prstGeom>
        <a:noFill/>
        <a:ln w="9525">
          <a:noFill/>
          <a:miter lim="800000"/>
          <a:headEnd/>
          <a:tailEnd/>
        </a:ln>
      </xdr:spPr>
    </xdr:pic>
    <xdr:clientData/>
  </xdr:twoCellAnchor>
  <xdr:twoCellAnchor editAs="oneCell">
    <xdr:from>
      <xdr:col>0</xdr:col>
      <xdr:colOff>190500</xdr:colOff>
      <xdr:row>37</xdr:row>
      <xdr:rowOff>76200</xdr:rowOff>
    </xdr:from>
    <xdr:to>
      <xdr:col>0</xdr:col>
      <xdr:colOff>1038225</xdr:colOff>
      <xdr:row>37</xdr:row>
      <xdr:rowOff>590550</xdr:rowOff>
    </xdr:to>
    <xdr:pic>
      <xdr:nvPicPr>
        <xdr:cNvPr id="3287334" name="Picture 30"/>
        <xdr:cNvPicPr>
          <a:picLocks noChangeAspect="1" noChangeArrowheads="1"/>
        </xdr:cNvPicPr>
      </xdr:nvPicPr>
      <xdr:blipFill>
        <a:blip xmlns:r="http://schemas.openxmlformats.org/officeDocument/2006/relationships" r:embed="rId8"/>
        <a:srcRect/>
        <a:stretch>
          <a:fillRect/>
        </a:stretch>
      </xdr:blipFill>
      <xdr:spPr bwMode="auto">
        <a:xfrm>
          <a:off x="190500" y="11725275"/>
          <a:ext cx="847725" cy="514350"/>
        </a:xfrm>
        <a:prstGeom prst="rect">
          <a:avLst/>
        </a:prstGeom>
        <a:noFill/>
        <a:ln w="9525">
          <a:noFill/>
          <a:miter lim="800000"/>
          <a:headEnd/>
          <a:tailEnd/>
        </a:ln>
      </xdr:spPr>
    </xdr:pic>
    <xdr:clientData/>
  </xdr:twoCellAnchor>
  <xdr:twoCellAnchor editAs="oneCell">
    <xdr:from>
      <xdr:col>9</xdr:col>
      <xdr:colOff>295275</xdr:colOff>
      <xdr:row>7</xdr:row>
      <xdr:rowOff>57150</xdr:rowOff>
    </xdr:from>
    <xdr:to>
      <xdr:col>9</xdr:col>
      <xdr:colOff>752475</xdr:colOff>
      <xdr:row>10</xdr:row>
      <xdr:rowOff>104775</xdr:rowOff>
    </xdr:to>
    <xdr:pic>
      <xdr:nvPicPr>
        <xdr:cNvPr id="3287335" name="Picture 6094"/>
        <xdr:cNvPicPr>
          <a:picLocks noChangeAspect="1" noChangeArrowheads="1"/>
        </xdr:cNvPicPr>
      </xdr:nvPicPr>
      <xdr:blipFill>
        <a:blip xmlns:r="http://schemas.openxmlformats.org/officeDocument/2006/relationships" r:embed="rId9"/>
        <a:srcRect/>
        <a:stretch>
          <a:fillRect/>
        </a:stretch>
      </xdr:blipFill>
      <xdr:spPr bwMode="auto">
        <a:xfrm>
          <a:off x="9058275" y="1581150"/>
          <a:ext cx="457200" cy="1009650"/>
        </a:xfrm>
        <a:prstGeom prst="rect">
          <a:avLst/>
        </a:prstGeom>
        <a:noFill/>
        <a:ln w="9525">
          <a:noFill/>
          <a:miter lim="800000"/>
          <a:headEnd/>
          <a:tailEnd/>
        </a:ln>
      </xdr:spPr>
    </xdr:pic>
    <xdr:clientData/>
  </xdr:twoCellAnchor>
  <xdr:twoCellAnchor editAs="oneCell">
    <xdr:from>
      <xdr:col>9</xdr:col>
      <xdr:colOff>38100</xdr:colOff>
      <xdr:row>15</xdr:row>
      <xdr:rowOff>190500</xdr:rowOff>
    </xdr:from>
    <xdr:to>
      <xdr:col>9</xdr:col>
      <xdr:colOff>1047750</xdr:colOff>
      <xdr:row>17</xdr:row>
      <xdr:rowOff>342900</xdr:rowOff>
    </xdr:to>
    <xdr:pic>
      <xdr:nvPicPr>
        <xdr:cNvPr id="3287336" name="Picture 6151"/>
        <xdr:cNvPicPr>
          <a:picLocks noChangeAspect="1" noChangeArrowheads="1"/>
        </xdr:cNvPicPr>
      </xdr:nvPicPr>
      <xdr:blipFill>
        <a:blip xmlns:r="http://schemas.openxmlformats.org/officeDocument/2006/relationships" r:embed="rId10"/>
        <a:srcRect/>
        <a:stretch>
          <a:fillRect/>
        </a:stretch>
      </xdr:blipFill>
      <xdr:spPr bwMode="auto">
        <a:xfrm>
          <a:off x="8801100" y="3810000"/>
          <a:ext cx="1009650" cy="581025"/>
        </a:xfrm>
        <a:prstGeom prst="rect">
          <a:avLst/>
        </a:prstGeom>
        <a:noFill/>
        <a:ln w="9525">
          <a:noFill/>
          <a:miter lim="800000"/>
          <a:headEnd/>
          <a:tailEnd/>
        </a:ln>
      </xdr:spPr>
    </xdr:pic>
    <xdr:clientData/>
  </xdr:twoCellAnchor>
  <xdr:twoCellAnchor editAs="oneCell">
    <xdr:from>
      <xdr:col>0</xdr:col>
      <xdr:colOff>161925</xdr:colOff>
      <xdr:row>25</xdr:row>
      <xdr:rowOff>76200</xdr:rowOff>
    </xdr:from>
    <xdr:to>
      <xdr:col>0</xdr:col>
      <xdr:colOff>1114425</xdr:colOff>
      <xdr:row>27</xdr:row>
      <xdr:rowOff>66675</xdr:rowOff>
    </xdr:to>
    <xdr:pic>
      <xdr:nvPicPr>
        <xdr:cNvPr id="3287337" name="Picture 1769"/>
        <xdr:cNvPicPr>
          <a:picLocks noChangeAspect="1" noChangeArrowheads="1"/>
        </xdr:cNvPicPr>
      </xdr:nvPicPr>
      <xdr:blipFill>
        <a:blip xmlns:r="http://schemas.openxmlformats.org/officeDocument/2006/relationships" r:embed="rId11"/>
        <a:srcRect/>
        <a:stretch>
          <a:fillRect/>
        </a:stretch>
      </xdr:blipFill>
      <xdr:spPr bwMode="auto">
        <a:xfrm>
          <a:off x="161925" y="7496175"/>
          <a:ext cx="952500" cy="533400"/>
        </a:xfrm>
        <a:prstGeom prst="rect">
          <a:avLst/>
        </a:prstGeom>
        <a:noFill/>
        <a:ln w="9525">
          <a:noFill/>
          <a:miter lim="800000"/>
          <a:headEnd/>
          <a:tailEnd/>
        </a:ln>
      </xdr:spPr>
    </xdr:pic>
    <xdr:clientData/>
  </xdr:twoCellAnchor>
  <xdr:twoCellAnchor editAs="oneCell">
    <xdr:from>
      <xdr:col>0</xdr:col>
      <xdr:colOff>95250</xdr:colOff>
      <xdr:row>28</xdr:row>
      <xdr:rowOff>161925</xdr:rowOff>
    </xdr:from>
    <xdr:to>
      <xdr:col>0</xdr:col>
      <xdr:colOff>1000125</xdr:colOff>
      <xdr:row>28</xdr:row>
      <xdr:rowOff>381000</xdr:rowOff>
    </xdr:to>
    <xdr:pic>
      <xdr:nvPicPr>
        <xdr:cNvPr id="3287338" name="Picture 9193"/>
        <xdr:cNvPicPr>
          <a:picLocks noChangeAspect="1" noChangeArrowheads="1"/>
        </xdr:cNvPicPr>
      </xdr:nvPicPr>
      <xdr:blipFill>
        <a:blip xmlns:r="http://schemas.openxmlformats.org/officeDocument/2006/relationships" r:embed="rId12"/>
        <a:srcRect/>
        <a:stretch>
          <a:fillRect/>
        </a:stretch>
      </xdr:blipFill>
      <xdr:spPr bwMode="auto">
        <a:xfrm>
          <a:off x="95250" y="8353425"/>
          <a:ext cx="904875" cy="219075"/>
        </a:xfrm>
        <a:prstGeom prst="rect">
          <a:avLst/>
        </a:prstGeom>
        <a:noFill/>
        <a:ln w="9525">
          <a:noFill/>
          <a:miter lim="800000"/>
          <a:headEnd/>
          <a:tailEnd/>
        </a:ln>
      </xdr:spPr>
    </xdr:pic>
    <xdr:clientData/>
  </xdr:twoCellAnchor>
  <xdr:twoCellAnchor editAs="oneCell">
    <xdr:from>
      <xdr:col>9</xdr:col>
      <xdr:colOff>266700</xdr:colOff>
      <xdr:row>22</xdr:row>
      <xdr:rowOff>19050</xdr:rowOff>
    </xdr:from>
    <xdr:to>
      <xdr:col>9</xdr:col>
      <xdr:colOff>809625</xdr:colOff>
      <xdr:row>22</xdr:row>
      <xdr:rowOff>942975</xdr:rowOff>
    </xdr:to>
    <xdr:pic>
      <xdr:nvPicPr>
        <xdr:cNvPr id="3287339" name="Рисунок 16" descr="Калитка Эконом NEW (60x40)_Lock RAL8017.png"/>
        <xdr:cNvPicPr>
          <a:picLocks noChangeAspect="1"/>
        </xdr:cNvPicPr>
      </xdr:nvPicPr>
      <xdr:blipFill>
        <a:blip xmlns:r="http://schemas.openxmlformats.org/officeDocument/2006/relationships" r:embed="rId13"/>
        <a:srcRect/>
        <a:stretch>
          <a:fillRect/>
        </a:stretch>
      </xdr:blipFill>
      <xdr:spPr bwMode="auto">
        <a:xfrm>
          <a:off x="9029700" y="5457825"/>
          <a:ext cx="542925" cy="923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CT43"/>
  <sheetViews>
    <sheetView zoomScale="75" zoomScaleNormal="75" workbookViewId="0"/>
  </sheetViews>
  <sheetFormatPr defaultColWidth="26.7109375" defaultRowHeight="12.75"/>
  <cols>
    <col min="1" max="1" width="41.140625" style="260" customWidth="1"/>
    <col min="2" max="2" width="17" style="260" customWidth="1"/>
    <col min="3" max="3" width="16.7109375" style="260" customWidth="1"/>
    <col min="4" max="4" width="33" style="260" customWidth="1"/>
    <col min="5" max="5" width="17" style="260" customWidth="1"/>
    <col min="6" max="6" width="18" style="260" customWidth="1"/>
    <col min="7" max="7" width="15.140625" style="260" customWidth="1"/>
    <col min="8" max="250" width="9.140625" style="260" customWidth="1"/>
    <col min="251" max="251" width="29.7109375" style="260" customWidth="1"/>
    <col min="252" max="16384" width="26.7109375" style="260"/>
  </cols>
  <sheetData>
    <row r="1" spans="1:98">
      <c r="A1" s="263" t="s">
        <v>19</v>
      </c>
    </row>
    <row r="2" spans="1:98" ht="45" customHeight="1">
      <c r="A2" s="485"/>
      <c r="B2" s="485"/>
      <c r="C2" s="485"/>
      <c r="D2" s="485"/>
      <c r="E2" s="485"/>
      <c r="F2" s="485"/>
      <c r="G2" s="485"/>
    </row>
    <row r="3" spans="1:98" s="261" customFormat="1" ht="30">
      <c r="A3" s="486" t="s">
        <v>1490</v>
      </c>
      <c r="B3" s="486"/>
      <c r="C3" s="486"/>
      <c r="D3" s="486"/>
      <c r="E3" s="486"/>
      <c r="F3" s="486"/>
      <c r="G3" s="486"/>
    </row>
    <row r="4" spans="1:98">
      <c r="D4" s="264"/>
      <c r="F4" s="264" t="s">
        <v>20</v>
      </c>
      <c r="G4" s="265">
        <v>43917</v>
      </c>
    </row>
    <row r="5" spans="1:98">
      <c r="A5" s="286"/>
      <c r="C5" s="262"/>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row>
    <row r="6" spans="1:98" s="316" customFormat="1" ht="20.25" customHeight="1">
      <c r="A6" s="315"/>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315"/>
      <c r="CH6" s="315"/>
      <c r="CI6" s="315"/>
      <c r="CJ6" s="315"/>
      <c r="CK6" s="315"/>
      <c r="CL6" s="315"/>
      <c r="CM6" s="315"/>
      <c r="CN6" s="315"/>
      <c r="CO6" s="315"/>
      <c r="CP6" s="315"/>
      <c r="CQ6" s="315"/>
      <c r="CR6" s="315"/>
      <c r="CS6" s="315"/>
      <c r="CT6" s="315"/>
    </row>
    <row r="7" spans="1:98" s="316" customFormat="1" ht="12.75" customHeight="1">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row>
    <row r="8" spans="1:98" s="316" customFormat="1" ht="12.75" customHeight="1">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c r="CE8" s="315"/>
      <c r="CF8" s="315"/>
      <c r="CG8" s="315"/>
      <c r="CH8" s="315"/>
      <c r="CI8" s="315"/>
      <c r="CJ8" s="315"/>
      <c r="CK8" s="315"/>
      <c r="CL8" s="315"/>
      <c r="CM8" s="315"/>
      <c r="CN8" s="315"/>
      <c r="CO8" s="315"/>
      <c r="CP8" s="315"/>
      <c r="CQ8" s="315"/>
      <c r="CR8" s="315"/>
      <c r="CS8" s="315"/>
      <c r="CT8" s="315"/>
    </row>
    <row r="9" spans="1:98" ht="25.5" customHeight="1">
      <c r="A9" s="487" t="s">
        <v>2126</v>
      </c>
      <c r="B9" s="487"/>
      <c r="C9" s="487"/>
      <c r="D9" s="487"/>
      <c r="E9" s="487"/>
    </row>
    <row r="10" spans="1:98" ht="29.25" customHeight="1">
      <c r="A10" s="488" t="s">
        <v>18</v>
      </c>
      <c r="B10" s="489" t="s">
        <v>2127</v>
      </c>
      <c r="C10" s="451"/>
      <c r="D10" s="488" t="s">
        <v>18</v>
      </c>
      <c r="E10" s="489" t="s">
        <v>2127</v>
      </c>
    </row>
    <row r="11" spans="1:98" ht="12.75" customHeight="1">
      <c r="A11" s="488"/>
      <c r="B11" s="489"/>
      <c r="C11" s="452"/>
      <c r="D11" s="488"/>
      <c r="E11" s="489"/>
    </row>
    <row r="12" spans="1:98" ht="19.5" customHeight="1">
      <c r="A12" s="450" t="s">
        <v>11</v>
      </c>
      <c r="B12" s="453" t="s">
        <v>2128</v>
      </c>
      <c r="C12" s="454"/>
      <c r="D12" s="450" t="s">
        <v>59</v>
      </c>
      <c r="E12" s="453" t="s">
        <v>2128</v>
      </c>
    </row>
    <row r="13" spans="1:98" ht="19.5" customHeight="1">
      <c r="A13" s="455" t="s">
        <v>50</v>
      </c>
      <c r="B13" s="456">
        <f>ROUND(KvintaPl_Sf_a*Belarus,2)</f>
        <v>657</v>
      </c>
      <c r="C13" s="454"/>
      <c r="D13" s="457" t="s">
        <v>60</v>
      </c>
      <c r="E13" s="456">
        <f>ROUND(ShtripsFalz_Sf_a*Belarus*(1-E68),2)</f>
        <v>619</v>
      </c>
    </row>
    <row r="14" spans="1:98" ht="19.5" customHeight="1">
      <c r="A14" s="455" t="s">
        <v>1942</v>
      </c>
      <c r="B14" s="456">
        <f>B13</f>
        <v>657</v>
      </c>
      <c r="C14" s="454"/>
      <c r="D14" s="458" t="s">
        <v>2129</v>
      </c>
      <c r="E14" s="456">
        <f>ROUND(List_Sf_a*Belarus*(1-E68),2)</f>
        <v>614</v>
      </c>
    </row>
    <row r="15" spans="1:98" ht="19.5" customHeight="1">
      <c r="A15" s="455" t="s">
        <v>1921</v>
      </c>
      <c r="B15" s="456">
        <f>ROUND(KvintaUno_Sf_a*Belarus,2)</f>
        <v>657</v>
      </c>
      <c r="C15" s="454"/>
      <c r="D15" s="450" t="s">
        <v>83</v>
      </c>
      <c r="E15" s="453" t="s">
        <v>2128</v>
      </c>
    </row>
    <row r="16" spans="1:98" ht="19.5" customHeight="1">
      <c r="A16" s="455" t="s">
        <v>2130</v>
      </c>
      <c r="B16" s="456">
        <f>ROUND(Kamea_Sf_a*Belarus,2)</f>
        <v>650</v>
      </c>
      <c r="C16" s="454"/>
      <c r="D16" s="455" t="s">
        <v>61</v>
      </c>
      <c r="E16" s="456">
        <f>ROUND((S_KDoska_Sf_a+B_UpakMS)*Belarus*(1-E68),2)</f>
        <v>676</v>
      </c>
    </row>
    <row r="17" spans="1:96" ht="19.5" customHeight="1">
      <c r="A17" s="455" t="s">
        <v>53</v>
      </c>
      <c r="B17" s="456">
        <f>ROUND(Kredo_Sf_a*Belarus,2)</f>
        <v>650</v>
      </c>
      <c r="C17" s="454"/>
      <c r="D17" s="459" t="s">
        <v>62</v>
      </c>
      <c r="E17" s="456">
        <f>ROUND((S_Vertikal_Sf_a+B_UpakMS)*Belarus*(1-E68),2)</f>
        <v>729</v>
      </c>
    </row>
    <row r="18" spans="1:96" ht="19.5" customHeight="1">
      <c r="A18" s="455" t="s">
        <v>54</v>
      </c>
      <c r="B18" s="456">
        <f>ROUND(Classic_Sf_a*Belarus,2)</f>
        <v>635</v>
      </c>
      <c r="C18" s="454"/>
      <c r="D18" s="459" t="s">
        <v>63</v>
      </c>
      <c r="E18" s="456">
        <f>ROUND((S_EBrus_Sf_a+B_UpakMS)*Belarus*(1-E68),2)</f>
        <v>693</v>
      </c>
    </row>
    <row r="19" spans="1:96" ht="19.5" customHeight="1">
      <c r="A19" s="450" t="s">
        <v>2131</v>
      </c>
      <c r="B19" s="453" t="s">
        <v>2128</v>
      </c>
      <c r="C19" s="454"/>
      <c r="D19" s="455" t="s">
        <v>2132</v>
      </c>
      <c r="E19" s="456">
        <f>ROUND((S_BHausNew_Sf_a+B_UpakMS)*Belarus*(1-E68),2)</f>
        <v>693</v>
      </c>
    </row>
    <row r="20" spans="1:96" ht="19.5" customHeight="1">
      <c r="A20" s="455" t="s">
        <v>10</v>
      </c>
      <c r="B20" s="456">
        <f>ROUND(Sofit_Sf_a*Belarus,2)</f>
        <v>1173</v>
      </c>
      <c r="C20" s="454"/>
      <c r="D20" s="450" t="s">
        <v>2133</v>
      </c>
      <c r="E20" s="453"/>
    </row>
    <row r="21" spans="1:96" ht="32.25" customHeight="1">
      <c r="A21" s="458" t="s">
        <v>2134</v>
      </c>
      <c r="B21" s="456">
        <f>ROUND((Falz2_Sf_a+B_UpakFalz)*Belarus*(1-E66),2)</f>
        <v>638</v>
      </c>
      <c r="C21" s="454"/>
      <c r="D21" s="455" t="s">
        <v>65</v>
      </c>
      <c r="E21" s="456">
        <f>ROUND(Shtaket_MP_Sf_a*Belarus*(1-E75),2)</f>
        <v>109</v>
      </c>
    </row>
    <row r="22" spans="1:96" ht="34.5" customHeight="1">
      <c r="A22" s="458" t="s">
        <v>2135</v>
      </c>
      <c r="B22" s="456">
        <f>ROUND((KlikPro_Sf_a+B_UpakFalz)*Belarus*(1-F66),2)</f>
        <v>779</v>
      </c>
      <c r="C22" s="454"/>
      <c r="D22" s="455" t="s">
        <v>66</v>
      </c>
      <c r="E22" s="456">
        <f>ROUND(Shtaket_MPf_Sf_a*Belarus*(1-E75),2)</f>
        <v>113</v>
      </c>
    </row>
    <row r="23" spans="1:96" ht="18" customHeight="1">
      <c r="A23" s="458" t="s">
        <v>1938</v>
      </c>
      <c r="B23" s="456">
        <f>ROUND((Klik_Sf_a+B_UpakFalz)*Belarus*(1-E66),2)</f>
        <v>735</v>
      </c>
      <c r="C23" s="452"/>
      <c r="D23" s="455" t="s">
        <v>1844</v>
      </c>
      <c r="E23" s="456">
        <f>ROUND(Shtaket_Tw_Sf_a*Belarus*(1-E76),2)</f>
        <v>114</v>
      </c>
    </row>
    <row r="24" spans="1:96" ht="19.5" customHeight="1">
      <c r="A24" s="458" t="s">
        <v>295</v>
      </c>
      <c r="B24" s="456">
        <f>ROUND((Klik_mini_Sf_a+B_UpakFalz)*Belarus*(1-E66),2)</f>
        <v>796</v>
      </c>
      <c r="C24" s="454"/>
      <c r="D24" s="455" t="s">
        <v>1845</v>
      </c>
      <c r="E24" s="456">
        <f>ROUND(Shtaket_Twf_Sf_a*Belarus*(1-E76),2)</f>
        <v>118</v>
      </c>
    </row>
    <row r="25" spans="1:96" ht="15">
      <c r="A25" s="450" t="s">
        <v>56</v>
      </c>
      <c r="B25" s="453" t="s">
        <v>2128</v>
      </c>
      <c r="C25" s="454"/>
      <c r="D25" s="455" t="s">
        <v>2077</v>
      </c>
      <c r="E25" s="456">
        <f>ROUND(Shtaket_Pk_Sf_a*Belarus*(1-E76),2)</f>
        <v>123</v>
      </c>
    </row>
    <row r="26" spans="1:96" s="316" customFormat="1" ht="16.5" customHeight="1">
      <c r="A26" s="455" t="s">
        <v>2</v>
      </c>
      <c r="B26" s="456">
        <f>ROUND(PnC8_Sf_a*Belarus*(1-E66),2)</f>
        <v>609</v>
      </c>
      <c r="C26" s="315"/>
      <c r="D26" s="455" t="s">
        <v>2078</v>
      </c>
      <c r="E26" s="456">
        <f>ROUND(Shtaket_Pkf_Sf_a*Belarus*(1-E76),2)</f>
        <v>127</v>
      </c>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c r="CM26" s="315"/>
      <c r="CN26" s="315"/>
      <c r="CO26" s="315"/>
      <c r="CP26" s="315"/>
      <c r="CQ26" s="315"/>
      <c r="CR26" s="315"/>
    </row>
    <row r="27" spans="1:96" s="316" customFormat="1" ht="16.5" customHeight="1">
      <c r="A27" s="460" t="s">
        <v>843</v>
      </c>
      <c r="B27" s="456">
        <f>ROUND(PnC8f_Sf_a*Belarus*(1-E66),2)</f>
        <v>664</v>
      </c>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row>
    <row r="28" spans="1:96" s="316" customFormat="1" ht="16.5" customHeight="1">
      <c r="A28" s="460" t="s">
        <v>3</v>
      </c>
      <c r="B28" s="456">
        <f>ROUND(PnC10_Sf_a*Belarus*(1-E66),2)</f>
        <v>621</v>
      </c>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315"/>
      <c r="CE28" s="315"/>
      <c r="CF28" s="315"/>
      <c r="CG28" s="315"/>
      <c r="CH28" s="315"/>
      <c r="CI28" s="315"/>
      <c r="CJ28" s="315"/>
      <c r="CK28" s="315"/>
      <c r="CL28" s="315"/>
      <c r="CM28" s="315"/>
      <c r="CN28" s="315"/>
      <c r="CO28" s="315"/>
      <c r="CP28" s="315"/>
      <c r="CQ28" s="315"/>
      <c r="CR28" s="315"/>
    </row>
    <row r="29" spans="1:96" s="316" customFormat="1" ht="16.5" customHeight="1">
      <c r="A29" s="460" t="s">
        <v>842</v>
      </c>
      <c r="B29" s="456">
        <f>ROUND(PnC10f_Sf_a*Belarus*(1-E66),2)</f>
        <v>676</v>
      </c>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c r="CK29" s="315"/>
      <c r="CL29" s="315"/>
      <c r="CM29" s="315"/>
      <c r="CN29" s="315"/>
      <c r="CO29" s="315"/>
      <c r="CP29" s="315"/>
      <c r="CQ29" s="315"/>
      <c r="CR29" s="315"/>
    </row>
    <row r="30" spans="1:96" s="316" customFormat="1" ht="16.5" customHeight="1">
      <c r="A30" s="460" t="s">
        <v>5</v>
      </c>
      <c r="B30" s="456">
        <f>ROUND(PnC20_Sf_a*Belarus*(1-E66),2)</f>
        <v>635</v>
      </c>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c r="CK30" s="315"/>
      <c r="CL30" s="315"/>
      <c r="CM30" s="315"/>
      <c r="CN30" s="315"/>
      <c r="CO30" s="315"/>
      <c r="CP30" s="315"/>
      <c r="CQ30" s="315"/>
      <c r="CR30" s="315"/>
    </row>
    <row r="31" spans="1:96" s="316" customFormat="1" ht="16.5" customHeight="1">
      <c r="A31" s="455" t="s">
        <v>6</v>
      </c>
      <c r="B31" s="456">
        <f>ROUND(PnC21_Sf_a*Belarus*(1-E66),2)</f>
        <v>695</v>
      </c>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315"/>
      <c r="CE31" s="315"/>
      <c r="CF31" s="315"/>
      <c r="CG31" s="315"/>
      <c r="CH31" s="315"/>
      <c r="CI31" s="315"/>
      <c r="CJ31" s="315"/>
      <c r="CK31" s="315"/>
      <c r="CL31" s="315"/>
      <c r="CM31" s="315"/>
      <c r="CN31" s="315"/>
      <c r="CO31" s="315"/>
      <c r="CP31" s="315"/>
      <c r="CQ31" s="315"/>
      <c r="CR31" s="315"/>
    </row>
    <row r="32" spans="1:96">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row>
    <row r="33" spans="1:98">
      <c r="A33" s="461" t="s">
        <v>2136</v>
      </c>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row>
    <row r="34" spans="1:98" s="316" customFormat="1" ht="16.5" customHeight="1">
      <c r="A34" s="315"/>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c r="CK34" s="315"/>
      <c r="CL34" s="315"/>
      <c r="CM34" s="315"/>
      <c r="CN34" s="315"/>
      <c r="CO34" s="315"/>
      <c r="CP34" s="315"/>
      <c r="CQ34" s="315"/>
      <c r="CR34" s="315"/>
      <c r="CS34" s="315"/>
      <c r="CT34" s="315"/>
    </row>
    <row r="35" spans="1:98" s="316" customFormat="1" ht="12.75" customHeight="1">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c r="CK35" s="315"/>
      <c r="CL35" s="315"/>
      <c r="CM35" s="315"/>
      <c r="CN35" s="315"/>
      <c r="CO35" s="315"/>
      <c r="CP35" s="315"/>
      <c r="CQ35" s="315"/>
      <c r="CR35" s="315"/>
      <c r="CS35" s="315"/>
      <c r="CT35" s="315"/>
    </row>
    <row r="36" spans="1:98" s="316" customFormat="1" ht="12.75" customHeight="1">
      <c r="A36" s="315"/>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c r="BY36" s="315"/>
      <c r="BZ36" s="315"/>
      <c r="CA36" s="315"/>
      <c r="CB36" s="315"/>
      <c r="CC36" s="315"/>
      <c r="CD36" s="315"/>
      <c r="CE36" s="315"/>
      <c r="CF36" s="315"/>
      <c r="CG36" s="315"/>
      <c r="CH36" s="315"/>
      <c r="CI36" s="315"/>
      <c r="CJ36" s="315"/>
      <c r="CK36" s="315"/>
      <c r="CL36" s="315"/>
      <c r="CM36" s="315"/>
      <c r="CN36" s="315"/>
      <c r="CO36" s="315"/>
      <c r="CP36" s="315"/>
      <c r="CQ36" s="315"/>
      <c r="CR36" s="315"/>
      <c r="CS36" s="315"/>
      <c r="CT36" s="315"/>
    </row>
    <row r="37" spans="1:98" s="316" customFormat="1" ht="12.75" customHeight="1">
      <c r="A37" s="315"/>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315"/>
      <c r="CE37" s="315"/>
      <c r="CF37" s="315"/>
      <c r="CG37" s="315"/>
      <c r="CH37" s="315"/>
      <c r="CI37" s="315"/>
      <c r="CJ37" s="315"/>
      <c r="CK37" s="315"/>
      <c r="CL37" s="315"/>
      <c r="CM37" s="315"/>
      <c r="CN37" s="315"/>
      <c r="CO37" s="315"/>
      <c r="CP37" s="315"/>
      <c r="CQ37" s="315"/>
      <c r="CR37" s="315"/>
      <c r="CS37" s="315"/>
      <c r="CT37" s="315"/>
    </row>
    <row r="38" spans="1:98" s="316" customFormat="1" ht="12.75" customHeight="1">
      <c r="A38" s="315"/>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c r="BY38" s="315"/>
      <c r="BZ38" s="315"/>
      <c r="CA38" s="315"/>
      <c r="CB38" s="315"/>
      <c r="CC38" s="315"/>
      <c r="CD38" s="315"/>
      <c r="CE38" s="315"/>
      <c r="CF38" s="315"/>
      <c r="CG38" s="315"/>
      <c r="CH38" s="315"/>
      <c r="CI38" s="315"/>
      <c r="CJ38" s="315"/>
      <c r="CK38" s="315"/>
      <c r="CL38" s="315"/>
      <c r="CM38" s="315"/>
      <c r="CN38" s="315"/>
      <c r="CO38" s="315"/>
      <c r="CP38" s="315"/>
      <c r="CQ38" s="315"/>
      <c r="CR38" s="315"/>
      <c r="CS38" s="315"/>
      <c r="CT38" s="315"/>
    </row>
    <row r="39" spans="1:98" s="316" customFormat="1" ht="12.75" customHeight="1">
      <c r="A39" s="315"/>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315"/>
      <c r="CE39" s="315"/>
      <c r="CF39" s="315"/>
      <c r="CG39" s="315"/>
      <c r="CH39" s="315"/>
      <c r="CI39" s="315"/>
      <c r="CJ39" s="315"/>
      <c r="CK39" s="315"/>
      <c r="CL39" s="315"/>
      <c r="CM39" s="315"/>
      <c r="CN39" s="315"/>
      <c r="CO39" s="315"/>
      <c r="CP39" s="315"/>
      <c r="CQ39" s="315"/>
      <c r="CR39" s="315"/>
      <c r="CS39" s="315"/>
      <c r="CT39" s="315"/>
    </row>
    <row r="40" spans="1:98" s="316" customFormat="1" ht="12.75" customHeight="1">
      <c r="A40" s="315"/>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c r="CK40" s="315"/>
      <c r="CL40" s="315"/>
      <c r="CM40" s="315"/>
      <c r="CN40" s="315"/>
      <c r="CO40" s="315"/>
      <c r="CP40" s="315"/>
      <c r="CQ40" s="315"/>
      <c r="CR40" s="315"/>
      <c r="CS40" s="315"/>
      <c r="CT40" s="315"/>
    </row>
    <row r="41" spans="1:98">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c r="CK41" s="315"/>
      <c r="CL41" s="315"/>
      <c r="CM41" s="315"/>
      <c r="CN41" s="315"/>
      <c r="CO41" s="315"/>
      <c r="CP41" s="315"/>
      <c r="CQ41" s="315"/>
      <c r="CR41" s="315"/>
      <c r="CS41" s="315"/>
      <c r="CT41" s="315"/>
    </row>
    <row r="42" spans="1:98">
      <c r="A42" s="287" t="s">
        <v>1542</v>
      </c>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315"/>
      <c r="CH42" s="315"/>
      <c r="CI42" s="315"/>
      <c r="CJ42" s="315"/>
      <c r="CK42" s="315"/>
      <c r="CL42" s="315"/>
      <c r="CM42" s="315"/>
      <c r="CN42" s="315"/>
      <c r="CO42" s="315"/>
      <c r="CP42" s="315"/>
      <c r="CQ42" s="315"/>
      <c r="CR42" s="315"/>
      <c r="CS42" s="315"/>
      <c r="CT42" s="315"/>
    </row>
    <row r="43" spans="1:98">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c r="BY43" s="315"/>
      <c r="BZ43" s="315"/>
      <c r="CA43" s="315"/>
      <c r="CB43" s="315"/>
      <c r="CC43" s="315"/>
      <c r="CD43" s="315"/>
      <c r="CE43" s="315"/>
      <c r="CF43" s="315"/>
      <c r="CG43" s="315"/>
      <c r="CH43" s="315"/>
      <c r="CI43" s="315"/>
      <c r="CJ43" s="315"/>
      <c r="CK43" s="315"/>
      <c r="CL43" s="315"/>
      <c r="CM43" s="315"/>
      <c r="CN43" s="315"/>
      <c r="CO43" s="315"/>
      <c r="CP43" s="315"/>
      <c r="CQ43" s="315"/>
      <c r="CR43" s="315"/>
      <c r="CS43" s="315"/>
      <c r="CT43" s="315"/>
    </row>
  </sheetData>
  <mergeCells count="7">
    <mergeCell ref="A2:G2"/>
    <mergeCell ref="A3:G3"/>
    <mergeCell ref="A9:E9"/>
    <mergeCell ref="A10:A11"/>
    <mergeCell ref="B10:B11"/>
    <mergeCell ref="D10:D11"/>
    <mergeCell ref="E10:E11"/>
  </mergeCells>
  <hyperlinks>
    <hyperlink ref="A1" location="'Содержание прайса'!A1" display="Вернуться в начало"/>
  </hyperlinks>
  <printOptions horizontalCentered="1"/>
  <pageMargins left="0" right="0" top="0.47244094488188981" bottom="0" header="0" footer="0"/>
  <pageSetup paperSize="9" scale="89"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10.xml><?xml version="1.0" encoding="utf-8"?>
<worksheet xmlns="http://schemas.openxmlformats.org/spreadsheetml/2006/main" xmlns:r="http://schemas.openxmlformats.org/officeDocument/2006/relationships">
  <sheetPr>
    <tabColor indexed="50"/>
    <pageSetUpPr fitToPage="1"/>
  </sheetPr>
  <dimension ref="A1:AF56"/>
  <sheetViews>
    <sheetView zoomScale="75" zoomScaleNormal="75" zoomScaleSheetLayoutView="25" workbookViewId="0">
      <selection sqref="A1:D1"/>
    </sheetView>
  </sheetViews>
  <sheetFormatPr defaultRowHeight="12.75"/>
  <cols>
    <col min="1" max="1" width="16.5703125" style="1" customWidth="1"/>
    <col min="2" max="2" width="18.28515625" style="1" customWidth="1"/>
    <col min="3" max="3" width="18" style="1" customWidth="1"/>
    <col min="4" max="5" width="7.42578125" style="1" customWidth="1"/>
    <col min="6" max="11" width="5" style="1" customWidth="1"/>
    <col min="12" max="12" width="10.7109375" style="172" customWidth="1"/>
    <col min="13" max="13" width="1.85546875" style="1" customWidth="1"/>
    <col min="14" max="14" width="20.28515625" style="1" customWidth="1"/>
    <col min="15" max="15" width="14.42578125" style="1" customWidth="1"/>
    <col min="16" max="16" width="19.5703125" style="1" customWidth="1"/>
    <col min="17" max="17" width="9" style="1" customWidth="1"/>
    <col min="18" max="18" width="8.85546875" style="1" customWidth="1"/>
    <col min="19" max="19" width="8.42578125" style="1" customWidth="1"/>
    <col min="20" max="22" width="4.7109375" style="1" customWidth="1"/>
    <col min="23" max="24" width="5.5703125" style="1" customWidth="1"/>
    <col min="25" max="25" width="12.7109375" style="1" customWidth="1"/>
    <col min="26" max="16384" width="9.140625" style="1"/>
  </cols>
  <sheetData>
    <row r="1" spans="1:25">
      <c r="A1" s="614" t="s">
        <v>19</v>
      </c>
      <c r="B1" s="614"/>
      <c r="C1" s="614"/>
      <c r="D1" s="614"/>
      <c r="E1" s="8"/>
      <c r="F1" s="8"/>
      <c r="G1" s="8"/>
      <c r="H1" s="8"/>
    </row>
    <row r="2" spans="1:25" ht="18.75" thickBot="1">
      <c r="A2" s="615" t="s">
        <v>1693</v>
      </c>
      <c r="B2" s="615"/>
      <c r="C2" s="615"/>
      <c r="D2" s="615"/>
      <c r="E2" s="615"/>
      <c r="F2" s="615"/>
      <c r="G2" s="615"/>
      <c r="H2" s="615"/>
      <c r="I2" s="615"/>
      <c r="J2" s="615"/>
      <c r="K2" s="615"/>
      <c r="L2" s="615"/>
      <c r="M2" s="615"/>
      <c r="N2" s="615"/>
      <c r="O2" s="615"/>
      <c r="P2" s="615"/>
      <c r="Q2" s="615"/>
      <c r="R2" s="78"/>
      <c r="S2" s="78"/>
      <c r="T2" s="78"/>
      <c r="U2" s="78"/>
      <c r="V2" s="78"/>
      <c r="W2" s="78"/>
      <c r="X2" s="80" t="s">
        <v>20</v>
      </c>
      <c r="Y2" s="105">
        <v>43906</v>
      </c>
    </row>
    <row r="3" spans="1:25" ht="33.75" customHeight="1">
      <c r="A3" s="859" t="s">
        <v>1514</v>
      </c>
      <c r="B3" s="859"/>
      <c r="C3" s="859"/>
      <c r="D3" s="859"/>
      <c r="E3" s="859"/>
      <c r="F3" s="859"/>
      <c r="G3" s="859"/>
      <c r="H3" s="859"/>
      <c r="I3" s="859"/>
      <c r="J3" s="859"/>
      <c r="K3" s="859"/>
      <c r="L3" s="859"/>
      <c r="M3" s="859"/>
      <c r="N3" s="859"/>
      <c r="O3" s="859"/>
      <c r="P3" s="859"/>
      <c r="Q3" s="859"/>
      <c r="R3" s="859"/>
      <c r="S3" s="859"/>
      <c r="T3" s="859"/>
      <c r="U3" s="859"/>
      <c r="V3" s="859"/>
      <c r="W3" s="859"/>
      <c r="X3" s="859"/>
      <c r="Y3" s="859"/>
    </row>
    <row r="4" spans="1:25" ht="15.75" customHeight="1">
      <c r="A4" s="1011"/>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row>
    <row r="5" spans="1:25" ht="15.75" customHeight="1">
      <c r="A5" s="122"/>
      <c r="B5" s="122"/>
      <c r="C5" s="122"/>
      <c r="D5" s="122"/>
      <c r="E5" s="122"/>
      <c r="F5" s="122"/>
      <c r="G5" s="122"/>
      <c r="H5" s="122"/>
      <c r="I5" s="122"/>
      <c r="J5" s="122"/>
      <c r="K5" s="122"/>
      <c r="L5" s="122"/>
      <c r="M5" s="122"/>
      <c r="N5" s="122"/>
      <c r="O5" s="122"/>
      <c r="P5" s="122"/>
      <c r="Q5" s="122"/>
      <c r="R5" s="122"/>
      <c r="S5" s="122"/>
      <c r="T5" s="1158" t="s">
        <v>849</v>
      </c>
      <c r="U5" s="1158"/>
      <c r="V5" s="1158"/>
      <c r="W5" s="1158"/>
      <c r="X5" s="1158"/>
      <c r="Y5" s="173">
        <v>43906</v>
      </c>
    </row>
    <row r="6" spans="1:25" ht="14.25" customHeight="1">
      <c r="A6" s="684" t="s">
        <v>18</v>
      </c>
      <c r="B6" s="684" t="s">
        <v>855</v>
      </c>
      <c r="C6" s="684" t="s">
        <v>1058</v>
      </c>
      <c r="D6" s="684" t="s">
        <v>1059</v>
      </c>
      <c r="E6" s="1159"/>
      <c r="F6" s="684" t="s">
        <v>1060</v>
      </c>
      <c r="G6" s="684"/>
      <c r="H6" s="684"/>
      <c r="I6" s="684"/>
      <c r="J6" s="684"/>
      <c r="K6" s="684"/>
      <c r="L6" s="1157" t="s">
        <v>103</v>
      </c>
      <c r="N6" s="684" t="s">
        <v>18</v>
      </c>
      <c r="O6" s="684" t="s">
        <v>855</v>
      </c>
      <c r="P6" s="684" t="s">
        <v>1058</v>
      </c>
      <c r="Q6" s="684" t="s">
        <v>1059</v>
      </c>
      <c r="R6" s="1159"/>
      <c r="S6" s="1159"/>
      <c r="T6" s="684" t="s">
        <v>1060</v>
      </c>
      <c r="U6" s="684"/>
      <c r="V6" s="684"/>
      <c r="W6" s="684"/>
      <c r="X6" s="684"/>
      <c r="Y6" s="1157" t="s">
        <v>103</v>
      </c>
    </row>
    <row r="7" spans="1:25">
      <c r="A7" s="684"/>
      <c r="B7" s="684"/>
      <c r="C7" s="684"/>
      <c r="D7" s="422" t="s">
        <v>1061</v>
      </c>
      <c r="E7" s="422" t="s">
        <v>1062</v>
      </c>
      <c r="F7" s="684"/>
      <c r="G7" s="684"/>
      <c r="H7" s="684"/>
      <c r="I7" s="684"/>
      <c r="J7" s="684"/>
      <c r="K7" s="684"/>
      <c r="L7" s="1157"/>
      <c r="N7" s="684"/>
      <c r="O7" s="684"/>
      <c r="P7" s="684"/>
      <c r="Q7" s="684" t="s">
        <v>1061</v>
      </c>
      <c r="R7" s="684"/>
      <c r="S7" s="422" t="s">
        <v>1062</v>
      </c>
      <c r="T7" s="684"/>
      <c r="U7" s="684"/>
      <c r="V7" s="684"/>
      <c r="W7" s="684"/>
      <c r="X7" s="684"/>
      <c r="Y7" s="1157"/>
    </row>
    <row r="8" spans="1:25" ht="26.25" customHeight="1">
      <c r="A8" s="1119" t="s">
        <v>1063</v>
      </c>
      <c r="B8" s="1124"/>
      <c r="C8" s="1076" t="s">
        <v>1064</v>
      </c>
      <c r="D8" s="587" t="s">
        <v>1065</v>
      </c>
      <c r="E8" s="587" t="s">
        <v>1066</v>
      </c>
      <c r="F8" s="687" t="s">
        <v>13</v>
      </c>
      <c r="G8" s="687"/>
      <c r="H8" s="687"/>
      <c r="I8" s="687" t="s">
        <v>1067</v>
      </c>
      <c r="J8" s="687"/>
      <c r="K8" s="687"/>
      <c r="L8" s="1132">
        <f>ROUND(8424*Belarus*(1-C48),2)</f>
        <v>8424</v>
      </c>
      <c r="N8" s="1119" t="s">
        <v>1068</v>
      </c>
      <c r="O8" s="1119"/>
      <c r="P8" s="1076" t="s">
        <v>1069</v>
      </c>
      <c r="Q8" s="587" t="s">
        <v>1070</v>
      </c>
      <c r="R8" s="587"/>
      <c r="S8" s="558" t="s">
        <v>1071</v>
      </c>
      <c r="T8" s="687" t="s">
        <v>13</v>
      </c>
      <c r="U8" s="687"/>
      <c r="V8" s="687"/>
      <c r="W8" s="687" t="s">
        <v>1072</v>
      </c>
      <c r="X8" s="687"/>
      <c r="Y8" s="1132">
        <f>ROUND(1182*Belarus*(1-C48),2)</f>
        <v>1182</v>
      </c>
    </row>
    <row r="9" spans="1:25" ht="17.25" customHeight="1">
      <c r="A9" s="1119"/>
      <c r="B9" s="1125"/>
      <c r="C9" s="1076"/>
      <c r="D9" s="587"/>
      <c r="E9" s="587"/>
      <c r="F9" s="687" t="s">
        <v>1012</v>
      </c>
      <c r="G9" s="687"/>
      <c r="H9" s="687"/>
      <c r="I9" s="687" t="s">
        <v>1073</v>
      </c>
      <c r="J9" s="687"/>
      <c r="K9" s="687"/>
      <c r="L9" s="1133"/>
      <c r="N9" s="1119"/>
      <c r="O9" s="1119"/>
      <c r="P9" s="1076"/>
      <c r="Q9" s="587"/>
      <c r="R9" s="587"/>
      <c r="S9" s="558"/>
      <c r="T9" s="687"/>
      <c r="U9" s="687"/>
      <c r="V9" s="687"/>
      <c r="W9" s="687"/>
      <c r="X9" s="687"/>
      <c r="Y9" s="1134"/>
    </row>
    <row r="10" spans="1:25" ht="17.25" customHeight="1">
      <c r="A10" s="1119"/>
      <c r="B10" s="1125"/>
      <c r="C10" s="1076"/>
      <c r="D10" s="587"/>
      <c r="E10" s="587"/>
      <c r="F10" s="687" t="s">
        <v>1014</v>
      </c>
      <c r="G10" s="687"/>
      <c r="H10" s="687"/>
      <c r="I10" s="687" t="s">
        <v>1015</v>
      </c>
      <c r="J10" s="687"/>
      <c r="K10" s="687"/>
      <c r="L10" s="1133"/>
      <c r="N10" s="1119" t="s">
        <v>1074</v>
      </c>
      <c r="O10" s="1119"/>
      <c r="P10" s="1076" t="s">
        <v>1075</v>
      </c>
      <c r="Q10" s="587" t="s">
        <v>1019</v>
      </c>
      <c r="R10" s="587"/>
      <c r="S10" s="587"/>
      <c r="T10" s="587"/>
      <c r="U10" s="587"/>
      <c r="V10" s="587"/>
      <c r="W10" s="587"/>
      <c r="X10" s="587"/>
      <c r="Y10" s="1147">
        <f>ROUND(210*Belarus*(1-C48),2)</f>
        <v>210</v>
      </c>
    </row>
    <row r="11" spans="1:25" ht="17.25" customHeight="1">
      <c r="A11" s="1119"/>
      <c r="B11" s="1125"/>
      <c r="C11" s="1076"/>
      <c r="D11" s="587"/>
      <c r="E11" s="587"/>
      <c r="F11" s="687" t="s">
        <v>1016</v>
      </c>
      <c r="G11" s="687"/>
      <c r="H11" s="687"/>
      <c r="I11" s="687" t="s">
        <v>1017</v>
      </c>
      <c r="J11" s="687"/>
      <c r="K11" s="687"/>
      <c r="L11" s="1134"/>
      <c r="N11" s="1119"/>
      <c r="O11" s="1119"/>
      <c r="P11" s="1076"/>
      <c r="Q11" s="587"/>
      <c r="R11" s="587"/>
      <c r="S11" s="587"/>
      <c r="T11" s="587"/>
      <c r="U11" s="587"/>
      <c r="V11" s="587"/>
      <c r="W11" s="587"/>
      <c r="X11" s="587"/>
      <c r="Y11" s="1148"/>
    </row>
    <row r="12" spans="1:25" ht="25.5" customHeight="1">
      <c r="A12" s="1119"/>
      <c r="B12" s="1126"/>
      <c r="C12" s="166" t="s">
        <v>1076</v>
      </c>
      <c r="D12" s="101" t="s">
        <v>1070</v>
      </c>
      <c r="E12" s="101" t="s">
        <v>1065</v>
      </c>
      <c r="F12" s="687" t="s">
        <v>1077</v>
      </c>
      <c r="G12" s="687"/>
      <c r="H12" s="687"/>
      <c r="I12" s="687" t="s">
        <v>1078</v>
      </c>
      <c r="J12" s="687"/>
      <c r="K12" s="687"/>
      <c r="L12" s="234">
        <f>ROUND(1541*Belarus*(1-C48),2)</f>
        <v>1541</v>
      </c>
      <c r="N12" s="1121" t="s">
        <v>1079</v>
      </c>
      <c r="O12" s="1119"/>
      <c r="P12" s="166" t="s">
        <v>1080</v>
      </c>
      <c r="Q12" s="1135" t="s">
        <v>1081</v>
      </c>
      <c r="R12" s="1135"/>
      <c r="S12" s="1135"/>
      <c r="T12" s="687" t="s">
        <v>1082</v>
      </c>
      <c r="U12" s="687"/>
      <c r="V12" s="687"/>
      <c r="W12" s="687"/>
      <c r="X12" s="687"/>
      <c r="Y12" s="233">
        <f>ROUND(1541*Belarus*(1-C48),2)</f>
        <v>1541</v>
      </c>
    </row>
    <row r="13" spans="1:25" ht="15.75" customHeight="1">
      <c r="A13" s="1119" t="s">
        <v>1083</v>
      </c>
      <c r="B13" s="1124"/>
      <c r="C13" s="1076" t="s">
        <v>1084</v>
      </c>
      <c r="D13" s="587" t="s">
        <v>1065</v>
      </c>
      <c r="E13" s="587" t="s">
        <v>1066</v>
      </c>
      <c r="F13" s="687" t="s">
        <v>13</v>
      </c>
      <c r="G13" s="687"/>
      <c r="H13" s="687"/>
      <c r="I13" s="619">
        <v>6005</v>
      </c>
      <c r="J13" s="619"/>
      <c r="K13" s="619"/>
      <c r="L13" s="1132">
        <f>ROUND(20956*Belarus*(1-C48),2)</f>
        <v>20956</v>
      </c>
      <c r="N13" s="1122"/>
      <c r="O13" s="1119"/>
      <c r="P13" s="166" t="s">
        <v>1085</v>
      </c>
      <c r="Q13" s="1135"/>
      <c r="R13" s="1135"/>
      <c r="S13" s="1135"/>
      <c r="T13" s="687"/>
      <c r="U13" s="687"/>
      <c r="V13" s="687"/>
      <c r="W13" s="687"/>
      <c r="X13" s="687"/>
      <c r="Y13" s="233">
        <f>ROUND(1926*Belarus*(1-C48),2)</f>
        <v>1926</v>
      </c>
    </row>
    <row r="14" spans="1:25" ht="18.75" customHeight="1">
      <c r="A14" s="1119"/>
      <c r="B14" s="1125"/>
      <c r="C14" s="1076"/>
      <c r="D14" s="587"/>
      <c r="E14" s="587"/>
      <c r="F14" s="687" t="s">
        <v>1012</v>
      </c>
      <c r="G14" s="687"/>
      <c r="H14" s="687"/>
      <c r="I14" s="687" t="s">
        <v>1086</v>
      </c>
      <c r="J14" s="687"/>
      <c r="K14" s="687"/>
      <c r="L14" s="1133"/>
      <c r="N14" s="1122"/>
      <c r="O14" s="1119"/>
      <c r="P14" s="166" t="s">
        <v>1087</v>
      </c>
      <c r="Q14" s="1135" t="s">
        <v>26</v>
      </c>
      <c r="R14" s="1135"/>
      <c r="S14" s="1135"/>
      <c r="T14" s="687" t="s">
        <v>1082</v>
      </c>
      <c r="U14" s="687"/>
      <c r="V14" s="687"/>
      <c r="W14" s="687"/>
      <c r="X14" s="687"/>
      <c r="Y14" s="233">
        <f>ROUND(1541*Belarus*(1-C48),2)</f>
        <v>1541</v>
      </c>
    </row>
    <row r="15" spans="1:25" ht="15.75" customHeight="1">
      <c r="A15" s="1119"/>
      <c r="B15" s="1125"/>
      <c r="C15" s="1076"/>
      <c r="D15" s="587"/>
      <c r="E15" s="587"/>
      <c r="F15" s="687" t="s">
        <v>1014</v>
      </c>
      <c r="G15" s="687"/>
      <c r="H15" s="687"/>
      <c r="I15" s="687" t="s">
        <v>1015</v>
      </c>
      <c r="J15" s="687"/>
      <c r="K15" s="687"/>
      <c r="L15" s="1133"/>
      <c r="N15" s="1122"/>
      <c r="O15" s="1119"/>
      <c r="P15" s="166" t="s">
        <v>1088</v>
      </c>
      <c r="Q15" s="1135"/>
      <c r="R15" s="1135"/>
      <c r="S15" s="1135"/>
      <c r="T15" s="687"/>
      <c r="U15" s="687"/>
      <c r="V15" s="687"/>
      <c r="W15" s="687"/>
      <c r="X15" s="687"/>
      <c r="Y15" s="233">
        <f>ROUND(2825*Belarus*(1-C48),2)</f>
        <v>2825</v>
      </c>
    </row>
    <row r="16" spans="1:25" ht="15.75" customHeight="1">
      <c r="A16" s="1119"/>
      <c r="B16" s="1125"/>
      <c r="C16" s="1076"/>
      <c r="D16" s="587"/>
      <c r="E16" s="587"/>
      <c r="F16" s="687" t="s">
        <v>1016</v>
      </c>
      <c r="G16" s="687"/>
      <c r="H16" s="687"/>
      <c r="I16" s="619" t="s">
        <v>1017</v>
      </c>
      <c r="J16" s="619"/>
      <c r="K16" s="619"/>
      <c r="L16" s="1134"/>
      <c r="N16" s="1122"/>
      <c r="O16" s="1119"/>
      <c r="P16" s="1076" t="s">
        <v>1089</v>
      </c>
      <c r="Q16" s="1135" t="s">
        <v>1081</v>
      </c>
      <c r="R16" s="1135"/>
      <c r="S16" s="1135"/>
      <c r="T16" s="687" t="s">
        <v>1090</v>
      </c>
      <c r="U16" s="687"/>
      <c r="V16" s="687"/>
      <c r="W16" s="687"/>
      <c r="X16" s="687"/>
      <c r="Y16" s="1147">
        <f>ROUND(720*Belarus*(1-C48),2)</f>
        <v>720</v>
      </c>
    </row>
    <row r="17" spans="1:25" ht="27" customHeight="1">
      <c r="A17" s="1119"/>
      <c r="B17" s="1126"/>
      <c r="C17" s="166" t="s">
        <v>1076</v>
      </c>
      <c r="D17" s="101" t="s">
        <v>1070</v>
      </c>
      <c r="E17" s="101" t="s">
        <v>1065</v>
      </c>
      <c r="F17" s="687" t="s">
        <v>1077</v>
      </c>
      <c r="G17" s="687"/>
      <c r="H17" s="687"/>
      <c r="I17" s="687" t="s">
        <v>1078</v>
      </c>
      <c r="J17" s="687"/>
      <c r="K17" s="687"/>
      <c r="L17" s="234">
        <f>ROUND(1541*Belarus*(1-C48),2)</f>
        <v>1541</v>
      </c>
      <c r="N17" s="1122"/>
      <c r="O17" s="1119"/>
      <c r="P17" s="1076"/>
      <c r="Q17" s="1135"/>
      <c r="R17" s="1135"/>
      <c r="S17" s="1135"/>
      <c r="T17" s="687"/>
      <c r="U17" s="687"/>
      <c r="V17" s="687"/>
      <c r="W17" s="687"/>
      <c r="X17" s="687"/>
      <c r="Y17" s="1148"/>
    </row>
    <row r="18" spans="1:25" ht="24.75" customHeight="1">
      <c r="A18" s="1119" t="s">
        <v>1091</v>
      </c>
      <c r="B18" s="637"/>
      <c r="C18" s="1076" t="s">
        <v>1092</v>
      </c>
      <c r="D18" s="587" t="s">
        <v>1065</v>
      </c>
      <c r="E18" s="587"/>
      <c r="F18" s="687" t="s">
        <v>13</v>
      </c>
      <c r="G18" s="687"/>
      <c r="H18" s="687"/>
      <c r="I18" s="619">
        <v>6005.9004999999997</v>
      </c>
      <c r="J18" s="619"/>
      <c r="K18" s="619"/>
      <c r="L18" s="1132">
        <f>ROUND(5240*Belarus*(1-C48),2)</f>
        <v>5240</v>
      </c>
      <c r="N18" s="1121" t="s">
        <v>1093</v>
      </c>
      <c r="O18" s="1121"/>
      <c r="P18" s="1154" t="s">
        <v>1094</v>
      </c>
      <c r="Q18" s="587" t="s">
        <v>1095</v>
      </c>
      <c r="R18" s="587"/>
      <c r="S18" s="587"/>
      <c r="T18" s="687" t="s">
        <v>1096</v>
      </c>
      <c r="U18" s="687"/>
      <c r="V18" s="687"/>
      <c r="W18" s="687"/>
      <c r="X18" s="687"/>
      <c r="Y18" s="1155">
        <f>ROUND(672*Belarus*(1-C48),2)</f>
        <v>672</v>
      </c>
    </row>
    <row r="19" spans="1:25" ht="24.75" customHeight="1">
      <c r="A19" s="1119"/>
      <c r="B19" s="651"/>
      <c r="C19" s="1076"/>
      <c r="D19" s="587"/>
      <c r="E19" s="587"/>
      <c r="F19" s="687" t="s">
        <v>1012</v>
      </c>
      <c r="G19" s="687"/>
      <c r="H19" s="687"/>
      <c r="I19" s="687" t="s">
        <v>1097</v>
      </c>
      <c r="J19" s="687"/>
      <c r="K19" s="687"/>
      <c r="L19" s="1133"/>
      <c r="N19" s="1122"/>
      <c r="O19" s="1122"/>
      <c r="P19" s="1154"/>
      <c r="Q19" s="587"/>
      <c r="R19" s="587"/>
      <c r="S19" s="587"/>
      <c r="T19" s="687"/>
      <c r="U19" s="687"/>
      <c r="V19" s="687"/>
      <c r="W19" s="687"/>
      <c r="X19" s="687"/>
      <c r="Y19" s="1156"/>
    </row>
    <row r="20" spans="1:25" ht="21" customHeight="1">
      <c r="A20" s="1119"/>
      <c r="B20" s="651"/>
      <c r="C20" s="1076"/>
      <c r="D20" s="587"/>
      <c r="E20" s="587"/>
      <c r="F20" s="687" t="s">
        <v>1014</v>
      </c>
      <c r="G20" s="687"/>
      <c r="H20" s="687"/>
      <c r="I20" s="687" t="s">
        <v>1098</v>
      </c>
      <c r="J20" s="687"/>
      <c r="K20" s="687"/>
      <c r="L20" s="1133"/>
      <c r="N20" s="1122"/>
      <c r="O20" s="1122"/>
      <c r="P20" s="1154" t="s">
        <v>1099</v>
      </c>
      <c r="Q20" s="587"/>
      <c r="R20" s="587"/>
      <c r="S20" s="587"/>
      <c r="T20" s="687"/>
      <c r="U20" s="687"/>
      <c r="V20" s="687"/>
      <c r="W20" s="687"/>
      <c r="X20" s="687"/>
      <c r="Y20" s="1147">
        <f>ROUND(737*Belarus*(1-C48),2)</f>
        <v>737</v>
      </c>
    </row>
    <row r="21" spans="1:25" ht="21" customHeight="1">
      <c r="A21" s="1119"/>
      <c r="B21" s="651"/>
      <c r="C21" s="1076"/>
      <c r="D21" s="587"/>
      <c r="E21" s="587"/>
      <c r="F21" s="687" t="s">
        <v>1016</v>
      </c>
      <c r="G21" s="687"/>
      <c r="H21" s="687"/>
      <c r="I21" s="687" t="s">
        <v>1017</v>
      </c>
      <c r="J21" s="687"/>
      <c r="K21" s="687"/>
      <c r="L21" s="1134"/>
      <c r="N21" s="1123"/>
      <c r="O21" s="1123"/>
      <c r="P21" s="1154"/>
      <c r="Q21" s="587"/>
      <c r="R21" s="587"/>
      <c r="S21" s="587"/>
      <c r="T21" s="687"/>
      <c r="U21" s="687"/>
      <c r="V21" s="687"/>
      <c r="W21" s="687"/>
      <c r="X21" s="687"/>
      <c r="Y21" s="1148"/>
    </row>
    <row r="22" spans="1:25" ht="26.25" customHeight="1">
      <c r="A22" s="1119"/>
      <c r="B22" s="651"/>
      <c r="C22" s="1076" t="s">
        <v>1076</v>
      </c>
      <c r="D22" s="587" t="s">
        <v>1070</v>
      </c>
      <c r="E22" s="587" t="s">
        <v>1065</v>
      </c>
      <c r="F22" s="687" t="s">
        <v>1077</v>
      </c>
      <c r="G22" s="687"/>
      <c r="H22" s="687"/>
      <c r="I22" s="687" t="s">
        <v>1078</v>
      </c>
      <c r="J22" s="687"/>
      <c r="K22" s="687"/>
      <c r="L22" s="1132">
        <f>ROUND(1541*Belarus*(1-C48),2)</f>
        <v>1541</v>
      </c>
      <c r="N22" s="1119" t="s">
        <v>1100</v>
      </c>
      <c r="O22" s="1119"/>
      <c r="P22" s="1076" t="s">
        <v>1101</v>
      </c>
      <c r="Q22" s="587" t="s">
        <v>1102</v>
      </c>
      <c r="R22" s="1151" t="s">
        <v>1103</v>
      </c>
      <c r="S22" s="1152" t="s">
        <v>1104</v>
      </c>
      <c r="T22" s="687" t="s">
        <v>1105</v>
      </c>
      <c r="U22" s="687"/>
      <c r="V22" s="687"/>
      <c r="W22" s="687"/>
      <c r="X22" s="687"/>
      <c r="Y22" s="1147">
        <f>ROUND(2363*Belarus*(1-C48),2)</f>
        <v>2363</v>
      </c>
    </row>
    <row r="23" spans="1:25" ht="26.25" customHeight="1">
      <c r="A23" s="1119"/>
      <c r="B23" s="638"/>
      <c r="C23" s="1076"/>
      <c r="D23" s="587"/>
      <c r="E23" s="587"/>
      <c r="F23" s="687"/>
      <c r="G23" s="687"/>
      <c r="H23" s="687"/>
      <c r="I23" s="687"/>
      <c r="J23" s="687"/>
      <c r="K23" s="687"/>
      <c r="L23" s="1134"/>
      <c r="N23" s="1119"/>
      <c r="O23" s="1119"/>
      <c r="P23" s="1076"/>
      <c r="Q23" s="587"/>
      <c r="R23" s="1151"/>
      <c r="S23" s="1153"/>
      <c r="T23" s="687"/>
      <c r="U23" s="687"/>
      <c r="V23" s="687"/>
      <c r="W23" s="687"/>
      <c r="X23" s="687"/>
      <c r="Y23" s="1148"/>
    </row>
    <row r="24" spans="1:25" ht="29.25" customHeight="1">
      <c r="A24" s="1121" t="s">
        <v>1106</v>
      </c>
      <c r="B24" s="1124"/>
      <c r="C24" s="166" t="s">
        <v>1107</v>
      </c>
      <c r="D24" s="507" t="s">
        <v>1065</v>
      </c>
      <c r="E24" s="508"/>
      <c r="F24" s="687" t="s">
        <v>13</v>
      </c>
      <c r="G24" s="687"/>
      <c r="H24" s="687"/>
      <c r="I24" s="687" t="s">
        <v>1108</v>
      </c>
      <c r="J24" s="687"/>
      <c r="K24" s="687"/>
      <c r="L24" s="1132">
        <f>ROUND(7575*Belarus*(1-C48),2)</f>
        <v>7575</v>
      </c>
      <c r="N24" s="1121" t="s">
        <v>1109</v>
      </c>
      <c r="O24" s="1121"/>
      <c r="P24" s="1149" t="s">
        <v>1110</v>
      </c>
      <c r="Q24" s="637" t="s">
        <v>1111</v>
      </c>
      <c r="R24" s="637" t="s">
        <v>1112</v>
      </c>
      <c r="S24" s="637"/>
      <c r="T24" s="1129" t="s">
        <v>1113</v>
      </c>
      <c r="U24" s="1130"/>
      <c r="V24" s="1130"/>
      <c r="W24" s="1130"/>
      <c r="X24" s="1131"/>
      <c r="Y24" s="1147">
        <f>ROUND(3494*Belarus*(1-C48),2)</f>
        <v>3494</v>
      </c>
    </row>
    <row r="25" spans="1:25" ht="29.25" customHeight="1">
      <c r="A25" s="1122"/>
      <c r="B25" s="1125"/>
      <c r="C25" s="620" t="s">
        <v>1114</v>
      </c>
      <c r="D25" s="704"/>
      <c r="E25" s="621"/>
      <c r="F25" s="587" t="s">
        <v>1115</v>
      </c>
      <c r="G25" s="587"/>
      <c r="H25" s="587"/>
      <c r="I25" s="587"/>
      <c r="J25" s="587"/>
      <c r="K25" s="587"/>
      <c r="L25" s="1133"/>
      <c r="N25" s="1123"/>
      <c r="O25" s="1123"/>
      <c r="P25" s="1150"/>
      <c r="Q25" s="638"/>
      <c r="R25" s="638"/>
      <c r="S25" s="638"/>
      <c r="T25" s="1144"/>
      <c r="U25" s="1145"/>
      <c r="V25" s="1145"/>
      <c r="W25" s="1145"/>
      <c r="X25" s="1146"/>
      <c r="Y25" s="1148"/>
    </row>
    <row r="26" spans="1:25" ht="41.25" customHeight="1">
      <c r="A26" s="1122"/>
      <c r="B26" s="1125"/>
      <c r="C26" s="620" t="s">
        <v>1116</v>
      </c>
      <c r="D26" s="704"/>
      <c r="E26" s="621"/>
      <c r="F26" s="587" t="s">
        <v>1117</v>
      </c>
      <c r="G26" s="587"/>
      <c r="H26" s="587"/>
      <c r="I26" s="587"/>
      <c r="J26" s="587"/>
      <c r="K26" s="587"/>
      <c r="L26" s="1133"/>
      <c r="N26" s="174" t="s">
        <v>1118</v>
      </c>
      <c r="O26" s="174"/>
      <c r="P26" s="166" t="s">
        <v>1119</v>
      </c>
      <c r="Q26" s="101" t="s">
        <v>1111</v>
      </c>
      <c r="R26" s="176" t="s">
        <v>1120</v>
      </c>
      <c r="S26" s="176" t="s">
        <v>1121</v>
      </c>
      <c r="T26" s="687" t="s">
        <v>1122</v>
      </c>
      <c r="U26" s="687"/>
      <c r="V26" s="687"/>
      <c r="W26" s="687"/>
      <c r="X26" s="687"/>
      <c r="Y26" s="233">
        <f>ROUND(2633*Belarus*(1-C48),2)</f>
        <v>2633</v>
      </c>
    </row>
    <row r="27" spans="1:25" ht="44.25" customHeight="1">
      <c r="A27" s="1122"/>
      <c r="B27" s="1125"/>
      <c r="C27" s="620" t="s">
        <v>1123</v>
      </c>
      <c r="D27" s="704"/>
      <c r="E27" s="621"/>
      <c r="F27" s="1135" t="s">
        <v>1124</v>
      </c>
      <c r="G27" s="1135"/>
      <c r="H27" s="1135"/>
      <c r="I27" s="1135"/>
      <c r="J27" s="1135"/>
      <c r="K27" s="1135"/>
      <c r="L27" s="1134"/>
      <c r="N27" s="175" t="s">
        <v>1125</v>
      </c>
      <c r="O27" s="175"/>
      <c r="P27" s="177" t="s">
        <v>1126</v>
      </c>
      <c r="Q27" s="726" t="s">
        <v>1127</v>
      </c>
      <c r="R27" s="727"/>
      <c r="S27" s="728"/>
      <c r="T27" s="691" t="s">
        <v>1128</v>
      </c>
      <c r="U27" s="691"/>
      <c r="V27" s="691"/>
      <c r="W27" s="691"/>
      <c r="X27" s="691"/>
      <c r="Y27" s="425">
        <f>ROUND(26297*Belarus*(1-C48),2)</f>
        <v>26297</v>
      </c>
    </row>
    <row r="28" spans="1:25" ht="30" customHeight="1">
      <c r="A28" s="1123"/>
      <c r="B28" s="1126"/>
      <c r="C28" s="620" t="s">
        <v>1129</v>
      </c>
      <c r="D28" s="704"/>
      <c r="E28" s="621"/>
      <c r="F28" s="1135" t="s">
        <v>1130</v>
      </c>
      <c r="G28" s="1135"/>
      <c r="H28" s="1135"/>
      <c r="I28" s="1135"/>
      <c r="J28" s="1135"/>
      <c r="K28" s="1135"/>
      <c r="L28" s="234">
        <f>ROUND(1569*Belarus*(1-C48),2)</f>
        <v>1569</v>
      </c>
      <c r="N28" s="1119" t="s">
        <v>1131</v>
      </c>
      <c r="O28" s="1119"/>
      <c r="P28" s="1076" t="s">
        <v>1132</v>
      </c>
      <c r="Q28" s="587" t="s">
        <v>1133</v>
      </c>
      <c r="R28" s="587"/>
      <c r="S28" s="587"/>
      <c r="T28" s="687" t="s">
        <v>1134</v>
      </c>
      <c r="U28" s="687"/>
      <c r="V28" s="687"/>
      <c r="W28" s="687"/>
      <c r="X28" s="687"/>
      <c r="Y28" s="1118">
        <f>ROUND(31125*Belarus*(1-C48),2)</f>
        <v>31125</v>
      </c>
    </row>
    <row r="29" spans="1:25" ht="30" customHeight="1">
      <c r="A29" s="1121" t="s">
        <v>1135</v>
      </c>
      <c r="B29" s="1124"/>
      <c r="C29" s="178" t="s">
        <v>1136</v>
      </c>
      <c r="D29" s="1127" t="s">
        <v>1137</v>
      </c>
      <c r="E29" s="1128"/>
      <c r="F29" s="1129" t="s">
        <v>13</v>
      </c>
      <c r="G29" s="1130"/>
      <c r="H29" s="1131"/>
      <c r="I29" s="1129" t="s">
        <v>1108</v>
      </c>
      <c r="J29" s="1130"/>
      <c r="K29" s="1131"/>
      <c r="L29" s="1132">
        <f>ROUND(7397*Belarus*(1-C48),2)</f>
        <v>7397</v>
      </c>
      <c r="N29" s="1119"/>
      <c r="O29" s="1119"/>
      <c r="P29" s="1076"/>
      <c r="Q29" s="587"/>
      <c r="R29" s="587"/>
      <c r="S29" s="587"/>
      <c r="T29" s="687"/>
      <c r="U29" s="687"/>
      <c r="V29" s="687"/>
      <c r="W29" s="687"/>
      <c r="X29" s="687"/>
      <c r="Y29" s="1118"/>
    </row>
    <row r="30" spans="1:25" ht="12.75" customHeight="1">
      <c r="A30" s="1122"/>
      <c r="B30" s="1125"/>
      <c r="C30" s="620" t="s">
        <v>1114</v>
      </c>
      <c r="D30" s="704"/>
      <c r="E30" s="621"/>
      <c r="F30" s="1135" t="s">
        <v>1115</v>
      </c>
      <c r="G30" s="1135"/>
      <c r="H30" s="1135"/>
      <c r="I30" s="1135"/>
      <c r="J30" s="1135"/>
      <c r="K30" s="1135"/>
      <c r="L30" s="1133"/>
      <c r="N30" s="1119" t="s">
        <v>1138</v>
      </c>
      <c r="O30" s="1119"/>
      <c r="P30" s="1076" t="s">
        <v>1139</v>
      </c>
      <c r="Q30" s="658" t="s">
        <v>1140</v>
      </c>
      <c r="R30" s="1136"/>
      <c r="S30" s="1137"/>
      <c r="T30" s="687" t="s">
        <v>1141</v>
      </c>
      <c r="U30" s="687"/>
      <c r="V30" s="687"/>
      <c r="W30" s="687"/>
      <c r="X30" s="687"/>
      <c r="Y30" s="1118">
        <f>ROUND(37596*Belarus*(1-C48),2)</f>
        <v>37596</v>
      </c>
    </row>
    <row r="31" spans="1:25" ht="12.75" customHeight="1">
      <c r="A31" s="1122"/>
      <c r="B31" s="1125"/>
      <c r="C31" s="620" t="s">
        <v>1116</v>
      </c>
      <c r="D31" s="704"/>
      <c r="E31" s="621"/>
      <c r="F31" s="1135" t="s">
        <v>1142</v>
      </c>
      <c r="G31" s="1135"/>
      <c r="H31" s="1135"/>
      <c r="I31" s="1135"/>
      <c r="J31" s="1135"/>
      <c r="K31" s="1135"/>
      <c r="L31" s="1133"/>
      <c r="N31" s="1119"/>
      <c r="O31" s="1119"/>
      <c r="P31" s="1076"/>
      <c r="Q31" s="1138"/>
      <c r="R31" s="1139"/>
      <c r="S31" s="1140"/>
      <c r="T31" s="687"/>
      <c r="U31" s="687"/>
      <c r="V31" s="687"/>
      <c r="W31" s="687"/>
      <c r="X31" s="687"/>
      <c r="Y31" s="1118"/>
    </row>
    <row r="32" spans="1:25" ht="12.75" customHeight="1">
      <c r="A32" s="1122"/>
      <c r="B32" s="1125"/>
      <c r="C32" s="620" t="s">
        <v>1123</v>
      </c>
      <c r="D32" s="704"/>
      <c r="E32" s="621"/>
      <c r="F32" s="1135" t="s">
        <v>1143</v>
      </c>
      <c r="G32" s="1135"/>
      <c r="H32" s="1135"/>
      <c r="I32" s="1135"/>
      <c r="J32" s="1135"/>
      <c r="K32" s="1135"/>
      <c r="L32" s="1133"/>
      <c r="N32" s="1119"/>
      <c r="O32" s="1119"/>
      <c r="P32" s="1076"/>
      <c r="Q32" s="1138"/>
      <c r="R32" s="1139"/>
      <c r="S32" s="1140"/>
      <c r="T32" s="687"/>
      <c r="U32" s="687"/>
      <c r="V32" s="687"/>
      <c r="W32" s="687"/>
      <c r="X32" s="687"/>
      <c r="Y32" s="1118"/>
    </row>
    <row r="33" spans="1:32" ht="12.75" customHeight="1">
      <c r="A33" s="1123"/>
      <c r="B33" s="1126"/>
      <c r="C33" s="620" t="s">
        <v>1144</v>
      </c>
      <c r="D33" s="704"/>
      <c r="E33" s="621"/>
      <c r="F33" s="1135" t="s">
        <v>1130</v>
      </c>
      <c r="G33" s="1135"/>
      <c r="H33" s="1135"/>
      <c r="I33" s="1135"/>
      <c r="J33" s="1135"/>
      <c r="K33" s="1135"/>
      <c r="L33" s="1134"/>
      <c r="N33" s="1119"/>
      <c r="O33" s="1119"/>
      <c r="P33" s="1076"/>
      <c r="Q33" s="1141"/>
      <c r="R33" s="1142"/>
      <c r="S33" s="1143"/>
      <c r="T33" s="687"/>
      <c r="U33" s="687"/>
      <c r="V33" s="687"/>
      <c r="W33" s="687"/>
      <c r="X33" s="687"/>
      <c r="Y33" s="1118"/>
    </row>
    <row r="34" spans="1:32" ht="27.75" customHeight="1">
      <c r="A34" s="1119" t="s">
        <v>1145</v>
      </c>
      <c r="B34" s="1120"/>
      <c r="C34" s="1076" t="s">
        <v>1146</v>
      </c>
      <c r="D34" s="587" t="s">
        <v>1065</v>
      </c>
      <c r="E34" s="587" t="s">
        <v>1065</v>
      </c>
      <c r="F34" s="687" t="s">
        <v>13</v>
      </c>
      <c r="G34" s="687"/>
      <c r="H34" s="687"/>
      <c r="I34" s="687" t="s">
        <v>1067</v>
      </c>
      <c r="J34" s="687"/>
      <c r="K34" s="687"/>
      <c r="L34" s="639">
        <f>ROUND(10170*Belarus*(1-C48),2)</f>
        <v>10170</v>
      </c>
      <c r="N34" s="1119" t="s">
        <v>1147</v>
      </c>
      <c r="O34" s="1119"/>
      <c r="P34" s="1076" t="s">
        <v>1148</v>
      </c>
      <c r="Q34" s="587" t="s">
        <v>1140</v>
      </c>
      <c r="R34" s="587"/>
      <c r="S34" s="587"/>
      <c r="T34" s="687" t="s">
        <v>1149</v>
      </c>
      <c r="U34" s="687"/>
      <c r="V34" s="687"/>
      <c r="W34" s="687"/>
      <c r="X34" s="687"/>
      <c r="Y34" s="1118">
        <f>ROUND(35439*Belarus*(1-C48),2)</f>
        <v>35439</v>
      </c>
    </row>
    <row r="35" spans="1:32" s="4" customFormat="1" ht="22.5" customHeight="1">
      <c r="A35" s="1119"/>
      <c r="B35" s="1120"/>
      <c r="C35" s="1076"/>
      <c r="D35" s="587"/>
      <c r="E35" s="587"/>
      <c r="F35" s="687" t="s">
        <v>1012</v>
      </c>
      <c r="G35" s="687"/>
      <c r="H35" s="687"/>
      <c r="I35" s="687" t="s">
        <v>1013</v>
      </c>
      <c r="J35" s="687"/>
      <c r="K35" s="687"/>
      <c r="L35" s="639"/>
      <c r="M35" s="1"/>
      <c r="N35" s="1119"/>
      <c r="O35" s="1119"/>
      <c r="P35" s="1076"/>
      <c r="Q35" s="587"/>
      <c r="R35" s="587"/>
      <c r="S35" s="587"/>
      <c r="T35" s="687"/>
      <c r="U35" s="687"/>
      <c r="V35" s="687"/>
      <c r="W35" s="687"/>
      <c r="X35" s="687"/>
      <c r="Y35" s="1118"/>
      <c r="AC35" s="1"/>
      <c r="AF35" s="1"/>
    </row>
    <row r="36" spans="1:32" s="4" customFormat="1" ht="12.75" customHeight="1">
      <c r="A36" s="1119"/>
      <c r="B36" s="1120"/>
      <c r="C36" s="1076"/>
      <c r="D36" s="587"/>
      <c r="E36" s="587"/>
      <c r="F36" s="687" t="s">
        <v>1014</v>
      </c>
      <c r="G36" s="687"/>
      <c r="H36" s="687"/>
      <c r="I36" s="687" t="s">
        <v>1015</v>
      </c>
      <c r="J36" s="687"/>
      <c r="K36" s="687"/>
      <c r="L36" s="639"/>
      <c r="M36" s="1"/>
      <c r="N36" s="1119" t="s">
        <v>1150</v>
      </c>
      <c r="O36" s="1119"/>
      <c r="P36" s="1076" t="s">
        <v>1151</v>
      </c>
      <c r="Q36" s="587" t="s">
        <v>1102</v>
      </c>
      <c r="R36" s="587" t="s">
        <v>1152</v>
      </c>
      <c r="S36" s="587"/>
      <c r="T36" s="687" t="s">
        <v>1153</v>
      </c>
      <c r="U36" s="687"/>
      <c r="V36" s="687"/>
      <c r="W36" s="687"/>
      <c r="X36" s="687"/>
      <c r="Y36" s="1118">
        <f>ROUND(1503*Belarus*(1-C48),2)</f>
        <v>1503</v>
      </c>
      <c r="AC36" s="1"/>
      <c r="AF36" s="1"/>
    </row>
    <row r="37" spans="1:32" s="4" customFormat="1" ht="12.75" customHeight="1">
      <c r="A37" s="1119"/>
      <c r="B37" s="1120"/>
      <c r="C37" s="1076"/>
      <c r="D37" s="587"/>
      <c r="E37" s="587"/>
      <c r="F37" s="687" t="s">
        <v>1016</v>
      </c>
      <c r="G37" s="687"/>
      <c r="H37" s="687"/>
      <c r="I37" s="687" t="s">
        <v>1017</v>
      </c>
      <c r="J37" s="687"/>
      <c r="K37" s="687"/>
      <c r="L37" s="639"/>
      <c r="M37" s="1"/>
      <c r="N37" s="1119"/>
      <c r="O37" s="1119"/>
      <c r="P37" s="1076"/>
      <c r="Q37" s="587"/>
      <c r="R37" s="587"/>
      <c r="S37" s="587"/>
      <c r="T37" s="687"/>
      <c r="U37" s="687"/>
      <c r="V37" s="687"/>
      <c r="W37" s="687"/>
      <c r="X37" s="687"/>
      <c r="Y37" s="1118"/>
      <c r="AC37" s="1"/>
      <c r="AF37" s="1"/>
    </row>
    <row r="38" spans="1:32" s="4" customFormat="1" ht="25.5" customHeight="1">
      <c r="A38" s="1119"/>
      <c r="B38" s="1120"/>
      <c r="C38" s="166" t="s">
        <v>1018</v>
      </c>
      <c r="D38" s="101" t="s">
        <v>1066</v>
      </c>
      <c r="E38" s="55" t="s">
        <v>1071</v>
      </c>
      <c r="F38" s="687" t="s">
        <v>1154</v>
      </c>
      <c r="G38" s="687"/>
      <c r="H38" s="687"/>
      <c r="I38" s="687"/>
      <c r="J38" s="687"/>
      <c r="K38" s="687"/>
      <c r="L38" s="234">
        <f>ROUND(3802*Belarus*(1-C48),2)</f>
        <v>3802</v>
      </c>
      <c r="M38" s="1"/>
      <c r="N38" s="1119"/>
      <c r="O38" s="1119"/>
      <c r="P38" s="1076"/>
      <c r="Q38" s="587"/>
      <c r="R38" s="587"/>
      <c r="S38" s="587"/>
      <c r="T38" s="687"/>
      <c r="U38" s="687"/>
      <c r="V38" s="687"/>
      <c r="W38" s="687"/>
      <c r="X38" s="687"/>
      <c r="Y38" s="1118"/>
      <c r="AC38" s="1"/>
      <c r="AF38" s="1"/>
    </row>
    <row r="39" spans="1:32" s="4" customFormat="1" ht="25.5" customHeight="1">
      <c r="A39" s="1119"/>
      <c r="B39" s="1120"/>
      <c r="C39" s="166" t="s">
        <v>1020</v>
      </c>
      <c r="D39" s="101" t="s">
        <v>1066</v>
      </c>
      <c r="E39" s="55" t="s">
        <v>1071</v>
      </c>
      <c r="F39" s="687" t="s">
        <v>1155</v>
      </c>
      <c r="G39" s="687"/>
      <c r="H39" s="687"/>
      <c r="I39" s="687"/>
      <c r="J39" s="687"/>
      <c r="K39" s="687"/>
      <c r="L39" s="234">
        <f>ROUND(1336*Belarus*(1-C48),2)</f>
        <v>1336</v>
      </c>
      <c r="M39" s="1"/>
      <c r="N39" s="645" t="s">
        <v>1156</v>
      </c>
      <c r="O39" s="649"/>
      <c r="P39" s="649"/>
      <c r="Q39" s="649"/>
      <c r="R39" s="649"/>
      <c r="S39" s="649"/>
      <c r="T39" s="649"/>
      <c r="U39" s="649"/>
      <c r="V39" s="649"/>
      <c r="W39" s="649"/>
      <c r="X39" s="649"/>
      <c r="Y39" s="646"/>
      <c r="AC39" s="1"/>
      <c r="AF39" s="1"/>
    </row>
    <row r="40" spans="1:32">
      <c r="N40" s="645" t="s">
        <v>1157</v>
      </c>
      <c r="O40" s="649"/>
      <c r="P40" s="649"/>
      <c r="Q40" s="649"/>
      <c r="R40" s="649"/>
      <c r="S40" s="649"/>
      <c r="T40" s="649"/>
      <c r="U40" s="649"/>
      <c r="V40" s="649"/>
      <c r="W40" s="649"/>
      <c r="X40" s="649"/>
      <c r="Y40" s="646"/>
    </row>
    <row r="41" spans="1:32">
      <c r="N41" s="645" t="s">
        <v>1158</v>
      </c>
      <c r="O41" s="649"/>
      <c r="P41" s="649"/>
      <c r="Q41" s="649"/>
      <c r="R41" s="649"/>
      <c r="S41" s="649"/>
      <c r="T41" s="649"/>
      <c r="U41" s="649"/>
      <c r="V41" s="649"/>
      <c r="W41" s="649"/>
      <c r="X41" s="649"/>
      <c r="Y41" s="646"/>
    </row>
    <row r="42" spans="1:32">
      <c r="N42" s="937" t="s">
        <v>1159</v>
      </c>
      <c r="O42" s="938"/>
      <c r="P42" s="938"/>
      <c r="Q42" s="938"/>
      <c r="R42" s="938"/>
      <c r="S42" s="938"/>
      <c r="T42" s="938"/>
      <c r="U42" s="938"/>
      <c r="V42" s="938"/>
      <c r="W42" s="938"/>
      <c r="X42" s="938"/>
      <c r="Y42" s="939"/>
    </row>
    <row r="46" spans="1:32">
      <c r="C46" s="70"/>
    </row>
    <row r="48" spans="1:32">
      <c r="A48" s="740" t="s">
        <v>854</v>
      </c>
      <c r="B48" s="740"/>
      <c r="C48" s="713">
        <v>0</v>
      </c>
    </row>
    <row r="49" spans="1:25">
      <c r="A49" s="740"/>
      <c r="B49" s="740"/>
      <c r="C49" s="714"/>
    </row>
    <row r="50" spans="1:25" ht="12.75" customHeight="1"/>
    <row r="51" spans="1:25" ht="15">
      <c r="A51" s="281" t="s">
        <v>1527</v>
      </c>
      <c r="N51" s="179"/>
      <c r="O51" s="179"/>
      <c r="P51" s="180"/>
      <c r="Q51" s="42"/>
      <c r="R51" s="42"/>
      <c r="S51" s="42"/>
      <c r="T51" s="181"/>
      <c r="U51" s="181"/>
      <c r="V51" s="181"/>
      <c r="W51" s="181"/>
      <c r="X51" s="181"/>
      <c r="Y51" s="182"/>
    </row>
    <row r="52" spans="1:25">
      <c r="N52" s="179"/>
      <c r="O52" s="179"/>
      <c r="P52" s="180"/>
      <c r="Q52" s="42"/>
      <c r="R52" s="42"/>
      <c r="S52" s="42"/>
      <c r="T52" s="181"/>
      <c r="U52" s="181"/>
      <c r="V52" s="181"/>
      <c r="W52" s="181"/>
      <c r="X52" s="181"/>
      <c r="Y52" s="182"/>
    </row>
    <row r="53" spans="1:25">
      <c r="N53" s="70"/>
      <c r="O53" s="70"/>
      <c r="P53" s="70"/>
      <c r="Q53" s="70"/>
      <c r="R53" s="70"/>
      <c r="S53" s="70"/>
      <c r="T53" s="70"/>
      <c r="U53" s="70"/>
      <c r="V53" s="70"/>
      <c r="W53" s="70"/>
      <c r="X53" s="70"/>
      <c r="Y53" s="70"/>
    </row>
    <row r="54" spans="1:25">
      <c r="N54" s="70"/>
      <c r="O54" s="70"/>
      <c r="P54" s="70"/>
      <c r="Q54" s="70"/>
      <c r="R54" s="70"/>
      <c r="S54" s="70"/>
      <c r="T54" s="70"/>
      <c r="U54" s="70"/>
      <c r="V54" s="70"/>
      <c r="W54" s="70"/>
      <c r="X54" s="70"/>
      <c r="Y54" s="70"/>
    </row>
    <row r="55" spans="1:25">
      <c r="N55" s="70"/>
      <c r="O55" s="70"/>
      <c r="P55" s="70"/>
      <c r="Q55" s="70"/>
      <c r="R55" s="70"/>
      <c r="S55" s="70"/>
      <c r="T55" s="70"/>
      <c r="U55" s="70"/>
      <c r="V55" s="70"/>
      <c r="W55" s="70"/>
      <c r="X55" s="70"/>
      <c r="Y55" s="70"/>
    </row>
    <row r="56" spans="1:25">
      <c r="N56" s="70"/>
      <c r="O56" s="70"/>
      <c r="P56" s="70"/>
      <c r="Q56" s="70"/>
      <c r="R56" s="70"/>
      <c r="S56" s="70"/>
      <c r="T56" s="70"/>
      <c r="U56" s="70"/>
      <c r="V56" s="70"/>
      <c r="W56" s="70"/>
      <c r="X56" s="70"/>
      <c r="Y56" s="70"/>
    </row>
  </sheetData>
  <sheetProtection selectLockedCells="1" selectUnlockedCells="1"/>
  <mergeCells count="197">
    <mergeCell ref="E8:E11"/>
    <mergeCell ref="F8:H8"/>
    <mergeCell ref="I8:K8"/>
    <mergeCell ref="L8:L11"/>
    <mergeCell ref="L6:L7"/>
    <mergeCell ref="A1:D1"/>
    <mergeCell ref="A2:Q2"/>
    <mergeCell ref="A3:Y3"/>
    <mergeCell ref="A4:Y4"/>
    <mergeCell ref="T5:X5"/>
    <mergeCell ref="A6:A7"/>
    <mergeCell ref="B6:B7"/>
    <mergeCell ref="C6:C7"/>
    <mergeCell ref="D6:E6"/>
    <mergeCell ref="F6:K7"/>
    <mergeCell ref="Y6:Y7"/>
    <mergeCell ref="Q7:R7"/>
    <mergeCell ref="N6:N7"/>
    <mergeCell ref="O6:O7"/>
    <mergeCell ref="P6:P7"/>
    <mergeCell ref="Q6:S6"/>
    <mergeCell ref="T6:X7"/>
    <mergeCell ref="W8:X9"/>
    <mergeCell ref="Y8:Y9"/>
    <mergeCell ref="F9:H9"/>
    <mergeCell ref="I9:K9"/>
    <mergeCell ref="F10:H10"/>
    <mergeCell ref="I10:K10"/>
    <mergeCell ref="N10:N11"/>
    <mergeCell ref="O10:O11"/>
    <mergeCell ref="P10:P11"/>
    <mergeCell ref="Q10:X11"/>
    <mergeCell ref="N8:N9"/>
    <mergeCell ref="O8:O9"/>
    <mergeCell ref="P8:P9"/>
    <mergeCell ref="Q8:R9"/>
    <mergeCell ref="S8:S9"/>
    <mergeCell ref="T8:V9"/>
    <mergeCell ref="A13:A17"/>
    <mergeCell ref="B13:B17"/>
    <mergeCell ref="C13:C16"/>
    <mergeCell ref="D13:D16"/>
    <mergeCell ref="E13:E16"/>
    <mergeCell ref="F13:H13"/>
    <mergeCell ref="Y10:Y11"/>
    <mergeCell ref="F11:H11"/>
    <mergeCell ref="I11:K11"/>
    <mergeCell ref="F12:H12"/>
    <mergeCell ref="I12:K12"/>
    <mergeCell ref="N12:N17"/>
    <mergeCell ref="O12:O13"/>
    <mergeCell ref="Q12:S13"/>
    <mergeCell ref="T12:X13"/>
    <mergeCell ref="I13:K13"/>
    <mergeCell ref="O16:O17"/>
    <mergeCell ref="P16:P17"/>
    <mergeCell ref="Q16:S17"/>
    <mergeCell ref="T16:X17"/>
    <mergeCell ref="A8:A12"/>
    <mergeCell ref="B8:B12"/>
    <mergeCell ref="C8:C11"/>
    <mergeCell ref="D8:D11"/>
    <mergeCell ref="Q18:S21"/>
    <mergeCell ref="T18:X21"/>
    <mergeCell ref="Y16:Y17"/>
    <mergeCell ref="F17:H17"/>
    <mergeCell ref="I17:K17"/>
    <mergeCell ref="L13:L16"/>
    <mergeCell ref="F14:H14"/>
    <mergeCell ref="I14:K14"/>
    <mergeCell ref="O14:O15"/>
    <mergeCell ref="Q14:S15"/>
    <mergeCell ref="T14:X15"/>
    <mergeCell ref="F15:H15"/>
    <mergeCell ref="I15:K15"/>
    <mergeCell ref="F16:H16"/>
    <mergeCell ref="I16:K16"/>
    <mergeCell ref="N18:N21"/>
    <mergeCell ref="Y18:Y19"/>
    <mergeCell ref="Y22:Y23"/>
    <mergeCell ref="T22:X23"/>
    <mergeCell ref="A18:A23"/>
    <mergeCell ref="B18:B23"/>
    <mergeCell ref="C18:C21"/>
    <mergeCell ref="D18:E21"/>
    <mergeCell ref="F18:H18"/>
    <mergeCell ref="I18:K18"/>
    <mergeCell ref="C22:C23"/>
    <mergeCell ref="D22:D23"/>
    <mergeCell ref="F21:H21"/>
    <mergeCell ref="I21:K21"/>
    <mergeCell ref="E22:E23"/>
    <mergeCell ref="F22:H23"/>
    <mergeCell ref="I22:K23"/>
    <mergeCell ref="F19:H19"/>
    <mergeCell ref="I19:K19"/>
    <mergeCell ref="F20:H20"/>
    <mergeCell ref="I20:K20"/>
    <mergeCell ref="P20:P21"/>
    <mergeCell ref="Y20:Y21"/>
    <mergeCell ref="O18:O21"/>
    <mergeCell ref="P18:P19"/>
    <mergeCell ref="L18:L21"/>
    <mergeCell ref="L22:L23"/>
    <mergeCell ref="N22:N23"/>
    <mergeCell ref="Q24:Q25"/>
    <mergeCell ref="R24:R25"/>
    <mergeCell ref="S24:S25"/>
    <mergeCell ref="R22:R23"/>
    <mergeCell ref="S22:S23"/>
    <mergeCell ref="O22:O23"/>
    <mergeCell ref="P22:P23"/>
    <mergeCell ref="Q22:Q23"/>
    <mergeCell ref="L24:L27"/>
    <mergeCell ref="Q27:S27"/>
    <mergeCell ref="T24:X25"/>
    <mergeCell ref="Y24:Y25"/>
    <mergeCell ref="C25:E25"/>
    <mergeCell ref="F25:K25"/>
    <mergeCell ref="C26:E26"/>
    <mergeCell ref="F26:K26"/>
    <mergeCell ref="T26:X26"/>
    <mergeCell ref="N24:N25"/>
    <mergeCell ref="O24:O25"/>
    <mergeCell ref="P24:P25"/>
    <mergeCell ref="D24:E24"/>
    <mergeCell ref="F24:H24"/>
    <mergeCell ref="I24:K24"/>
    <mergeCell ref="T27:X27"/>
    <mergeCell ref="C28:E28"/>
    <mergeCell ref="F28:K28"/>
    <mergeCell ref="N28:N29"/>
    <mergeCell ref="O28:O29"/>
    <mergeCell ref="P28:P29"/>
    <mergeCell ref="Q28:S29"/>
    <mergeCell ref="T28:X29"/>
    <mergeCell ref="C27:E27"/>
    <mergeCell ref="F27:K27"/>
    <mergeCell ref="O30:O33"/>
    <mergeCell ref="T34:X35"/>
    <mergeCell ref="Y28:Y29"/>
    <mergeCell ref="A29:A33"/>
    <mergeCell ref="B29:B33"/>
    <mergeCell ref="D29:E29"/>
    <mergeCell ref="F29:H29"/>
    <mergeCell ref="I29:K29"/>
    <mergeCell ref="L29:L33"/>
    <mergeCell ref="C30:E30"/>
    <mergeCell ref="F30:K30"/>
    <mergeCell ref="N30:N33"/>
    <mergeCell ref="A24:A28"/>
    <mergeCell ref="B24:B28"/>
    <mergeCell ref="P30:P33"/>
    <mergeCell ref="Q30:S33"/>
    <mergeCell ref="T30:X33"/>
    <mergeCell ref="Y30:Y33"/>
    <mergeCell ref="C31:E31"/>
    <mergeCell ref="F31:K31"/>
    <mergeCell ref="C32:E32"/>
    <mergeCell ref="F32:K32"/>
    <mergeCell ref="C33:E33"/>
    <mergeCell ref="F33:K33"/>
    <mergeCell ref="Y34:Y35"/>
    <mergeCell ref="F35:H35"/>
    <mergeCell ref="I35:K35"/>
    <mergeCell ref="F36:H36"/>
    <mergeCell ref="I36:K36"/>
    <mergeCell ref="N36:N38"/>
    <mergeCell ref="O36:O38"/>
    <mergeCell ref="P36:P38"/>
    <mergeCell ref="Q36:Q38"/>
    <mergeCell ref="I34:K34"/>
    <mergeCell ref="L34:L37"/>
    <mergeCell ref="N34:N35"/>
    <mergeCell ref="O34:O35"/>
    <mergeCell ref="P34:P35"/>
    <mergeCell ref="Q34:S35"/>
    <mergeCell ref="R36:R38"/>
    <mergeCell ref="S36:S38"/>
    <mergeCell ref="F34:H34"/>
    <mergeCell ref="N40:Y40"/>
    <mergeCell ref="N41:Y41"/>
    <mergeCell ref="N42:Y42"/>
    <mergeCell ref="A48:B49"/>
    <mergeCell ref="C48:C49"/>
    <mergeCell ref="T36:X38"/>
    <mergeCell ref="Y36:Y38"/>
    <mergeCell ref="F37:H37"/>
    <mergeCell ref="I37:K37"/>
    <mergeCell ref="F38:K38"/>
    <mergeCell ref="N39:Y39"/>
    <mergeCell ref="A34:A39"/>
    <mergeCell ref="B34:B39"/>
    <mergeCell ref="C34:C37"/>
    <mergeCell ref="D34:D37"/>
    <mergeCell ref="E34:E37"/>
    <mergeCell ref="F39:K39"/>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2"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11.xml><?xml version="1.0" encoding="utf-8"?>
<worksheet xmlns="http://schemas.openxmlformats.org/spreadsheetml/2006/main" xmlns:r="http://schemas.openxmlformats.org/officeDocument/2006/relationships">
  <sheetPr>
    <tabColor rgb="FF993366"/>
    <pageSetUpPr fitToPage="1"/>
  </sheetPr>
  <dimension ref="A1:M55"/>
  <sheetViews>
    <sheetView zoomScale="75" zoomScaleNormal="75" zoomScaleSheetLayoutView="50" workbookViewId="0">
      <selection sqref="A1:D1"/>
    </sheetView>
  </sheetViews>
  <sheetFormatPr defaultRowHeight="12.75"/>
  <cols>
    <col min="1" max="1" width="37.28515625" style="8" customWidth="1"/>
    <col min="2" max="2" width="35.28515625" style="8" customWidth="1"/>
    <col min="3" max="3" width="18.85546875" style="8" customWidth="1"/>
    <col min="4" max="4" width="18.28515625" style="8" customWidth="1"/>
    <col min="5" max="5" width="2.42578125" style="8" customWidth="1"/>
    <col min="6" max="6" width="30.28515625" style="8" customWidth="1"/>
    <col min="7" max="7" width="54.85546875" style="8" customWidth="1"/>
    <col min="8" max="8" width="16.28515625" style="8" customWidth="1"/>
    <col min="9" max="9" width="14.5703125" style="8" customWidth="1"/>
    <col min="10" max="10" width="22.28515625" style="8" customWidth="1"/>
    <col min="11" max="11" width="19.42578125" style="8" customWidth="1"/>
    <col min="12" max="12" width="13" style="8" customWidth="1"/>
    <col min="13" max="13" width="8.5703125" style="8" customWidth="1"/>
    <col min="14" max="16384" width="9.140625" style="8"/>
  </cols>
  <sheetData>
    <row r="1" spans="1:13" ht="15" customHeight="1">
      <c r="A1" s="614" t="s">
        <v>19</v>
      </c>
      <c r="B1" s="614"/>
      <c r="C1" s="614"/>
      <c r="D1" s="614"/>
      <c r="I1" s="160"/>
      <c r="J1" s="160"/>
    </row>
    <row r="2" spans="1:13" s="10" customFormat="1" ht="17.25" customHeight="1" thickBot="1">
      <c r="A2" s="656" t="s">
        <v>1456</v>
      </c>
      <c r="B2" s="656"/>
      <c r="C2" s="656"/>
      <c r="D2" s="656"/>
      <c r="E2" s="656"/>
      <c r="F2" s="656"/>
      <c r="H2" s="228" t="s">
        <v>20</v>
      </c>
      <c r="I2" s="275">
        <v>43913</v>
      </c>
      <c r="J2" s="160"/>
      <c r="K2" s="144"/>
      <c r="L2" s="1160"/>
      <c r="M2" s="1160"/>
    </row>
    <row r="3" spans="1:13" s="10" customFormat="1" ht="17.25" customHeight="1">
      <c r="A3" s="247"/>
      <c r="B3" s="247"/>
      <c r="C3" s="240"/>
      <c r="D3" s="1160"/>
      <c r="E3" s="1160"/>
      <c r="G3" s="252"/>
      <c r="H3" s="251" t="s">
        <v>849</v>
      </c>
      <c r="I3" s="250">
        <v>43913</v>
      </c>
      <c r="J3" s="245"/>
      <c r="K3" s="246"/>
      <c r="L3" s="245"/>
      <c r="M3" s="245"/>
    </row>
    <row r="4" spans="1:13" s="10" customFormat="1" ht="33" customHeight="1">
      <c r="A4" s="514" t="s">
        <v>18</v>
      </c>
      <c r="B4" s="514"/>
      <c r="C4" s="43" t="s">
        <v>1439</v>
      </c>
      <c r="D4" s="43" t="s">
        <v>1286</v>
      </c>
      <c r="E4" s="53"/>
      <c r="F4" s="514" t="s">
        <v>18</v>
      </c>
      <c r="G4" s="514"/>
      <c r="H4" s="43" t="s">
        <v>1439</v>
      </c>
      <c r="I4" s="43" t="s">
        <v>1286</v>
      </c>
      <c r="J4" s="248"/>
      <c r="K4" s="144"/>
      <c r="L4" s="245"/>
      <c r="M4" s="245"/>
    </row>
    <row r="5" spans="1:13" s="10" customFormat="1" ht="65.25" customHeight="1">
      <c r="A5" s="226" t="s">
        <v>1515</v>
      </c>
      <c r="B5" s="226"/>
      <c r="C5" s="165" t="s">
        <v>1442</v>
      </c>
      <c r="D5" s="55">
        <f>ROUND(1220*Belarus*(1-B52),2)</f>
        <v>1220</v>
      </c>
      <c r="E5" s="248"/>
      <c r="F5" s="226" t="s">
        <v>1516</v>
      </c>
      <c r="G5" s="226"/>
      <c r="H5" s="165" t="s">
        <v>1441</v>
      </c>
      <c r="I5" s="55">
        <f>ROUND(530*Belarus*(1-B52),2)</f>
        <v>530</v>
      </c>
      <c r="J5" s="248"/>
      <c r="K5" s="144"/>
      <c r="L5" s="245"/>
      <c r="M5" s="245"/>
    </row>
    <row r="6" spans="1:13" s="10" customFormat="1" ht="64.5" customHeight="1">
      <c r="A6" s="226" t="s">
        <v>1517</v>
      </c>
      <c r="B6" s="226"/>
      <c r="C6" s="165" t="s">
        <v>1442</v>
      </c>
      <c r="D6" s="55">
        <f>ROUND(1580*Belarus*(1-B52),2)</f>
        <v>1580</v>
      </c>
      <c r="E6" s="248"/>
      <c r="F6" s="254" t="s">
        <v>1448</v>
      </c>
      <c r="G6" s="1161"/>
      <c r="H6" s="165" t="s">
        <v>1443</v>
      </c>
      <c r="I6" s="558">
        <f>ROUND(490*Belarus*(1-B52),2)</f>
        <v>490</v>
      </c>
      <c r="J6" s="248"/>
      <c r="K6" s="144"/>
      <c r="L6" s="245"/>
      <c r="M6" s="245"/>
    </row>
    <row r="7" spans="1:13" s="10" customFormat="1" ht="56.25" customHeight="1">
      <c r="A7" s="226" t="s">
        <v>1518</v>
      </c>
      <c r="B7" s="226"/>
      <c r="C7" s="165" t="s">
        <v>1440</v>
      </c>
      <c r="D7" s="55">
        <f>ROUND(1300*Belarus*(1-B52),2)</f>
        <v>1300</v>
      </c>
      <c r="E7" s="248"/>
      <c r="F7" s="642" t="s">
        <v>1449</v>
      </c>
      <c r="G7" s="1161"/>
      <c r="H7" s="662" t="s">
        <v>1450</v>
      </c>
      <c r="I7" s="558"/>
      <c r="J7" s="248"/>
      <c r="K7" s="144"/>
      <c r="L7" s="245"/>
      <c r="M7" s="245"/>
    </row>
    <row r="8" spans="1:13" s="10" customFormat="1" ht="39" customHeight="1">
      <c r="A8" s="641" t="s">
        <v>1519</v>
      </c>
      <c r="B8" s="1161"/>
      <c r="C8" s="661" t="s">
        <v>1442</v>
      </c>
      <c r="D8" s="558">
        <f>ROUND(1500*Belarus*(1-B52),2)</f>
        <v>1500</v>
      </c>
      <c r="E8" s="248"/>
      <c r="F8" s="694"/>
      <c r="G8" s="1161"/>
      <c r="H8" s="663"/>
      <c r="I8" s="558"/>
      <c r="J8" s="248"/>
      <c r="K8" s="144"/>
      <c r="L8" s="245"/>
      <c r="M8" s="245"/>
    </row>
    <row r="9" spans="1:13" s="10" customFormat="1" ht="24.75" customHeight="1">
      <c r="A9" s="641"/>
      <c r="B9" s="1161"/>
      <c r="C9" s="661"/>
      <c r="D9" s="558"/>
      <c r="E9" s="248"/>
      <c r="F9" s="1162" t="s">
        <v>1520</v>
      </c>
      <c r="G9" s="1162"/>
      <c r="H9" s="1162"/>
      <c r="I9" s="1162"/>
      <c r="J9" s="248"/>
      <c r="K9" s="144"/>
      <c r="L9" s="245"/>
      <c r="M9" s="245"/>
    </row>
    <row r="10" spans="1:13" s="10" customFormat="1" ht="18">
      <c r="A10" s="274"/>
      <c r="B10" s="276"/>
      <c r="C10" s="276"/>
      <c r="D10" s="276"/>
      <c r="E10" s="248"/>
      <c r="F10" s="244"/>
      <c r="G10" s="244"/>
      <c r="H10" s="244"/>
      <c r="I10" s="244"/>
      <c r="J10" s="248"/>
      <c r="K10" s="144"/>
      <c r="L10" s="245"/>
      <c r="M10" s="245"/>
    </row>
    <row r="11" spans="1:13" s="10" customFormat="1" ht="18">
      <c r="E11" s="248"/>
      <c r="F11" s="273"/>
      <c r="G11" s="247"/>
      <c r="H11" s="231"/>
      <c r="I11" s="68"/>
      <c r="J11" s="248"/>
      <c r="K11" s="144"/>
      <c r="L11" s="245"/>
      <c r="M11" s="245"/>
    </row>
    <row r="12" spans="1:13" s="10" customFormat="1" ht="17.25" customHeight="1">
      <c r="A12" s="224"/>
      <c r="B12" s="224"/>
      <c r="C12" s="224"/>
      <c r="D12" s="68"/>
      <c r="E12" s="247"/>
      <c r="F12" s="247"/>
      <c r="G12" s="247"/>
      <c r="J12" s="248"/>
      <c r="K12" s="144"/>
      <c r="L12" s="245"/>
      <c r="M12" s="245"/>
    </row>
    <row r="13" spans="1:13" s="10" customFormat="1" ht="17.25" customHeight="1" thickBot="1">
      <c r="A13" s="656" t="s">
        <v>1457</v>
      </c>
      <c r="B13" s="656"/>
      <c r="C13" s="656"/>
      <c r="D13" s="656"/>
      <c r="E13" s="656"/>
      <c r="F13" s="656"/>
      <c r="G13" s="656"/>
      <c r="H13" s="656"/>
      <c r="I13" s="656"/>
      <c r="J13" s="248"/>
      <c r="K13" s="144"/>
      <c r="L13" s="245"/>
      <c r="M13" s="245"/>
    </row>
    <row r="14" spans="1:13" s="10" customFormat="1" ht="18">
      <c r="B14" s="247"/>
      <c r="C14" s="240"/>
      <c r="D14" s="1160"/>
      <c r="E14" s="1160"/>
      <c r="G14" s="1163" t="s">
        <v>849</v>
      </c>
      <c r="H14" s="1163"/>
      <c r="I14" s="249">
        <v>43791</v>
      </c>
    </row>
    <row r="15" spans="1:13" s="10" customFormat="1" ht="28.5" customHeight="1">
      <c r="A15" s="46" t="s">
        <v>980</v>
      </c>
      <c r="B15" s="46" t="s">
        <v>1284</v>
      </c>
      <c r="C15" s="43" t="s">
        <v>1285</v>
      </c>
      <c r="D15" s="43" t="s">
        <v>1286</v>
      </c>
      <c r="E15" s="8"/>
      <c r="F15" s="46" t="s">
        <v>980</v>
      </c>
      <c r="G15" s="46" t="s">
        <v>1284</v>
      </c>
      <c r="H15" s="43" t="s">
        <v>1287</v>
      </c>
      <c r="I15" s="43" t="s">
        <v>1286</v>
      </c>
    </row>
    <row r="16" spans="1:13" s="10" customFormat="1">
      <c r="A16" s="669" t="s">
        <v>1288</v>
      </c>
      <c r="B16" s="669"/>
      <c r="C16" s="669"/>
      <c r="D16" s="669"/>
      <c r="E16" s="8"/>
      <c r="F16" s="669" t="s">
        <v>1289</v>
      </c>
      <c r="G16" s="669"/>
      <c r="H16" s="669"/>
      <c r="I16" s="669"/>
    </row>
    <row r="17" spans="1:9" s="10" customFormat="1" ht="34.5" customHeight="1">
      <c r="A17" s="1164"/>
      <c r="B17" s="661" t="s">
        <v>1291</v>
      </c>
      <c r="C17" s="661" t="s">
        <v>1292</v>
      </c>
      <c r="D17" s="558">
        <f>ROUND(7007*Belarus*(1-B51),2)</f>
        <v>7007</v>
      </c>
      <c r="E17" s="8"/>
      <c r="F17" s="1164"/>
      <c r="G17" s="165" t="s">
        <v>1293</v>
      </c>
      <c r="H17" s="661" t="s">
        <v>1294</v>
      </c>
      <c r="I17" s="55">
        <f>ROUND(5150*Belarus*(1-B51),2)</f>
        <v>5150</v>
      </c>
    </row>
    <row r="18" spans="1:9" s="10" customFormat="1" ht="34.5" customHeight="1">
      <c r="A18" s="1164"/>
      <c r="B18" s="661"/>
      <c r="C18" s="661"/>
      <c r="D18" s="558"/>
      <c r="E18" s="8"/>
      <c r="F18" s="1164"/>
      <c r="G18" s="165" t="s">
        <v>1297</v>
      </c>
      <c r="H18" s="661"/>
      <c r="I18" s="55">
        <f>ROUND(6150*Belarus*(1-B51),2)</f>
        <v>6150</v>
      </c>
    </row>
    <row r="19" spans="1:9" s="10" customFormat="1" ht="14.25" customHeight="1">
      <c r="A19" s="669" t="s">
        <v>1298</v>
      </c>
      <c r="B19" s="669"/>
      <c r="C19" s="669"/>
      <c r="D19" s="669"/>
      <c r="E19" s="8"/>
      <c r="F19" s="1164"/>
      <c r="G19" s="661" t="s">
        <v>1299</v>
      </c>
      <c r="H19" s="661"/>
      <c r="I19" s="522">
        <f>ROUND(7990*Belarus*(1-B51),2)</f>
        <v>7990</v>
      </c>
    </row>
    <row r="20" spans="1:9" s="10" customFormat="1" ht="30" customHeight="1">
      <c r="A20" s="1164"/>
      <c r="B20" s="661" t="s">
        <v>1300</v>
      </c>
      <c r="C20" s="661" t="s">
        <v>1301</v>
      </c>
      <c r="D20" s="491">
        <f>ROUND(3938*Belarus*(1-B51),2)</f>
        <v>3938</v>
      </c>
      <c r="E20" s="8"/>
      <c r="F20" s="1164"/>
      <c r="G20" s="661"/>
      <c r="H20" s="661"/>
      <c r="I20" s="522"/>
    </row>
    <row r="21" spans="1:9" s="10" customFormat="1" ht="30" customHeight="1">
      <c r="A21" s="1164"/>
      <c r="B21" s="661"/>
      <c r="C21" s="661"/>
      <c r="D21" s="493"/>
      <c r="E21" s="8"/>
      <c r="F21" s="1164"/>
      <c r="G21" s="165" t="s">
        <v>1302</v>
      </c>
      <c r="H21" s="661"/>
      <c r="I21" s="106">
        <f>ROUND(8990*Belarus*(1-B51),2)</f>
        <v>8990</v>
      </c>
    </row>
    <row r="22" spans="1:9" s="10" customFormat="1" ht="12.75" customHeight="1">
      <c r="A22" s="1164"/>
      <c r="B22" s="661" t="s">
        <v>1303</v>
      </c>
      <c r="C22" s="661" t="s">
        <v>1304</v>
      </c>
      <c r="D22" s="491">
        <f>ROUND(3094*Belarus*(1-B51),2)</f>
        <v>3094</v>
      </c>
      <c r="E22" s="8"/>
      <c r="F22" s="1165" t="s">
        <v>1321</v>
      </c>
      <c r="G22" s="1166"/>
      <c r="H22" s="1166"/>
      <c r="I22" s="735"/>
    </row>
    <row r="23" spans="1:9" s="10" customFormat="1" ht="25.5" customHeight="1">
      <c r="A23" s="1164"/>
      <c r="B23" s="661"/>
      <c r="C23" s="661"/>
      <c r="D23" s="492"/>
      <c r="E23" s="8"/>
      <c r="F23" s="1167"/>
      <c r="G23" s="662" t="s">
        <v>1322</v>
      </c>
      <c r="H23" s="662" t="s">
        <v>51</v>
      </c>
      <c r="I23" s="1111">
        <f>ROUND(3845*Belarus*(1-B51),2)</f>
        <v>3845</v>
      </c>
    </row>
    <row r="24" spans="1:9" s="10" customFormat="1" ht="25.5" customHeight="1">
      <c r="A24" s="1164"/>
      <c r="B24" s="661"/>
      <c r="C24" s="661"/>
      <c r="D24" s="493"/>
      <c r="E24" s="8"/>
      <c r="F24" s="1168"/>
      <c r="G24" s="663"/>
      <c r="H24" s="665"/>
      <c r="I24" s="591"/>
    </row>
    <row r="25" spans="1:9" s="10" customFormat="1" ht="12.75" customHeight="1">
      <c r="A25" s="1164"/>
      <c r="B25" s="661" t="s">
        <v>1305</v>
      </c>
      <c r="C25" s="661" t="s">
        <v>1301</v>
      </c>
      <c r="D25" s="491">
        <f>ROUND(1994*Belarus*(1-B51),2)</f>
        <v>1994</v>
      </c>
      <c r="E25" s="8"/>
      <c r="F25" s="1167"/>
      <c r="G25" s="662" t="s">
        <v>1325</v>
      </c>
      <c r="H25" s="665"/>
      <c r="I25" s="1111">
        <f>ROUND(4790*Belarus*(1-B52),2)</f>
        <v>4790</v>
      </c>
    </row>
    <row r="26" spans="1:9" s="10" customFormat="1" ht="32.25" customHeight="1">
      <c r="A26" s="1164"/>
      <c r="B26" s="661"/>
      <c r="C26" s="661"/>
      <c r="D26" s="493"/>
      <c r="E26" s="8"/>
      <c r="F26" s="1169"/>
      <c r="G26" s="665"/>
      <c r="H26" s="665"/>
      <c r="I26" s="591"/>
    </row>
    <row r="27" spans="1:9" s="10" customFormat="1" ht="14.25" customHeight="1">
      <c r="A27" s="669" t="s">
        <v>1306</v>
      </c>
      <c r="B27" s="669"/>
      <c r="C27" s="669"/>
      <c r="D27" s="669"/>
      <c r="E27" s="8"/>
      <c r="F27" s="1169"/>
      <c r="G27" s="662" t="s">
        <v>1327</v>
      </c>
      <c r="H27" s="665"/>
      <c r="I27" s="1111">
        <f>ROUND(3675*Belarus*(1-B54),2)</f>
        <v>3675</v>
      </c>
    </row>
    <row r="28" spans="1:9" s="10" customFormat="1" ht="32.25" customHeight="1">
      <c r="A28" s="1164"/>
      <c r="B28" s="661" t="s">
        <v>1307</v>
      </c>
      <c r="C28" s="661" t="s">
        <v>1308</v>
      </c>
      <c r="D28" s="558">
        <f>ROUND(2205*Belarus*(1-B51),2)</f>
        <v>2205</v>
      </c>
      <c r="E28" s="8"/>
      <c r="F28" s="1168"/>
      <c r="G28" s="663"/>
      <c r="H28" s="665"/>
      <c r="I28" s="591"/>
    </row>
    <row r="29" spans="1:9" s="10" customFormat="1" ht="36" customHeight="1">
      <c r="A29" s="1164"/>
      <c r="B29" s="661"/>
      <c r="C29" s="661"/>
      <c r="D29" s="558"/>
      <c r="E29" s="8"/>
      <c r="F29" s="1170"/>
      <c r="G29" s="662" t="s">
        <v>1329</v>
      </c>
      <c r="H29" s="665"/>
      <c r="I29" s="1111">
        <f>ROUND(3825*Belarus*(1-B56),2)</f>
        <v>3825</v>
      </c>
    </row>
    <row r="30" spans="1:9" s="10" customFormat="1" ht="33" customHeight="1">
      <c r="A30" s="1164"/>
      <c r="B30" s="661" t="s">
        <v>1311</v>
      </c>
      <c r="C30" s="661" t="s">
        <v>1312</v>
      </c>
      <c r="D30" s="558">
        <f>ROUND(1470*Belarus*(1-B51),2)</f>
        <v>1470</v>
      </c>
      <c r="E30" s="8"/>
      <c r="F30" s="1171"/>
      <c r="G30" s="663"/>
      <c r="H30" s="663"/>
      <c r="I30" s="591"/>
    </row>
    <row r="31" spans="1:9" s="10" customFormat="1" ht="33" customHeight="1">
      <c r="A31" s="1164"/>
      <c r="B31" s="661"/>
      <c r="C31" s="661"/>
      <c r="D31" s="558"/>
      <c r="E31" s="8"/>
      <c r="F31" s="669" t="s">
        <v>1290</v>
      </c>
      <c r="G31" s="669"/>
      <c r="H31" s="669"/>
      <c r="I31" s="669"/>
    </row>
    <row r="32" spans="1:9" s="10" customFormat="1" ht="48.75" customHeight="1">
      <c r="A32" s="669" t="s">
        <v>1313</v>
      </c>
      <c r="B32" s="669"/>
      <c r="C32" s="669"/>
      <c r="D32" s="669"/>
      <c r="E32" s="8"/>
      <c r="F32" s="220"/>
      <c r="G32" s="107" t="s">
        <v>1309</v>
      </c>
      <c r="H32" s="69" t="s">
        <v>1310</v>
      </c>
      <c r="I32" s="14">
        <f>ROUND(305*Belarus*(1-B51),2)</f>
        <v>305</v>
      </c>
    </row>
    <row r="33" spans="1:13" s="10" customFormat="1" ht="48.75" customHeight="1">
      <c r="A33" s="238"/>
      <c r="B33" s="165" t="s">
        <v>1316</v>
      </c>
      <c r="C33" s="165" t="s">
        <v>1317</v>
      </c>
      <c r="D33" s="106">
        <f>ROUND(668*Belarus*(1-B51),2)</f>
        <v>668</v>
      </c>
      <c r="E33" s="8"/>
      <c r="F33" s="241"/>
      <c r="G33" s="165" t="s">
        <v>1314</v>
      </c>
      <c r="H33" s="69" t="s">
        <v>1315</v>
      </c>
      <c r="I33" s="14">
        <f>ROUND(477*Belarus*(1-B51),2)</f>
        <v>477</v>
      </c>
    </row>
    <row r="34" spans="1:13" s="10" customFormat="1" ht="45" customHeight="1">
      <c r="A34" s="232"/>
      <c r="B34" s="239" t="s">
        <v>1318</v>
      </c>
      <c r="C34" s="239" t="s">
        <v>1319</v>
      </c>
      <c r="D34" s="14">
        <f>ROUND(506*Belarus*(1-B51),2)</f>
        <v>506</v>
      </c>
      <c r="E34" s="8"/>
      <c r="F34" s="241"/>
      <c r="G34" s="165" t="s">
        <v>1295</v>
      </c>
      <c r="H34" s="69" t="s">
        <v>1296</v>
      </c>
      <c r="I34" s="14">
        <f>ROUND(861*Belarus*(1-B51),2)</f>
        <v>861</v>
      </c>
    </row>
    <row r="35" spans="1:13" s="10" customFormat="1" ht="49.5" customHeight="1">
      <c r="A35" s="253"/>
      <c r="B35" s="165" t="s">
        <v>1320</v>
      </c>
      <c r="C35" s="165" t="s">
        <v>1319</v>
      </c>
      <c r="D35" s="55">
        <f>ROUND(468*Belarus*(1-B51),2)</f>
        <v>468</v>
      </c>
      <c r="E35" s="8"/>
      <c r="F35" s="534" t="s">
        <v>1331</v>
      </c>
      <c r="G35" s="534"/>
      <c r="H35" s="534"/>
      <c r="I35" s="534"/>
    </row>
    <row r="36" spans="1:13" s="10" customFormat="1" ht="51" customHeight="1">
      <c r="A36" s="238"/>
      <c r="B36" s="165" t="s">
        <v>1323</v>
      </c>
      <c r="C36" s="165" t="s">
        <v>1324</v>
      </c>
      <c r="D36" s="106">
        <f>ROUND(428*Belarus*(1-B51),2)</f>
        <v>428</v>
      </c>
      <c r="E36" s="8"/>
      <c r="F36" s="534" t="s">
        <v>1332</v>
      </c>
      <c r="G36" s="534"/>
      <c r="H36" s="534"/>
      <c r="I36" s="534"/>
    </row>
    <row r="37" spans="1:13" s="10" customFormat="1" ht="48.75" customHeight="1">
      <c r="A37" s="238"/>
      <c r="B37" s="165" t="s">
        <v>1326</v>
      </c>
      <c r="C37" s="165" t="s">
        <v>1324</v>
      </c>
      <c r="D37" s="106">
        <f>ROUND(384*Belarus*(1-B51),2)</f>
        <v>384</v>
      </c>
      <c r="E37" s="8"/>
      <c r="F37" s="534" t="s">
        <v>1330</v>
      </c>
      <c r="G37" s="534"/>
      <c r="H37" s="534"/>
      <c r="I37" s="534"/>
      <c r="J37" s="8"/>
      <c r="K37" s="8"/>
      <c r="L37" s="8"/>
      <c r="M37" s="8"/>
    </row>
    <row r="38" spans="1:13" s="10" customFormat="1" ht="15.75" customHeight="1">
      <c r="A38" s="603" t="s">
        <v>1328</v>
      </c>
      <c r="B38" s="603"/>
      <c r="C38" s="603"/>
      <c r="D38" s="603"/>
      <c r="E38" s="8"/>
      <c r="F38" s="534" t="s">
        <v>1704</v>
      </c>
      <c r="G38" s="534"/>
      <c r="H38" s="534"/>
      <c r="I38" s="534"/>
      <c r="J38" s="8"/>
      <c r="K38" s="8"/>
      <c r="L38" s="8"/>
      <c r="M38" s="8"/>
    </row>
    <row r="39" spans="1:13" s="10" customFormat="1" ht="15.75" customHeight="1">
      <c r="A39" s="605"/>
      <c r="B39" s="605"/>
      <c r="C39" s="605"/>
      <c r="D39" s="605"/>
      <c r="E39" s="8"/>
      <c r="F39" s="11"/>
      <c r="G39" s="11"/>
      <c r="H39" s="11"/>
      <c r="I39" s="11"/>
      <c r="J39" s="8"/>
      <c r="K39" s="8"/>
      <c r="L39" s="8"/>
      <c r="M39" s="8"/>
    </row>
    <row r="40" spans="1:13" s="10" customFormat="1" ht="15.75" customHeight="1">
      <c r="A40" s="605"/>
      <c r="B40" s="605"/>
      <c r="C40" s="605"/>
      <c r="D40" s="605"/>
      <c r="E40" s="8"/>
      <c r="J40" s="8"/>
      <c r="K40" s="8"/>
      <c r="L40" s="8"/>
      <c r="M40" s="8"/>
    </row>
    <row r="41" spans="1:13" s="10" customFormat="1" ht="15.75" customHeight="1">
      <c r="A41" s="605"/>
      <c r="B41" s="605"/>
      <c r="C41" s="605"/>
      <c r="D41" s="605"/>
      <c r="E41" s="8"/>
      <c r="F41" s="8"/>
      <c r="G41" s="8"/>
      <c r="H41" s="8"/>
      <c r="I41" s="8"/>
      <c r="J41" s="8"/>
      <c r="K41" s="8"/>
      <c r="L41" s="8"/>
      <c r="M41" s="8"/>
    </row>
    <row r="42" spans="1:13" s="10" customFormat="1" ht="18.75" customHeight="1">
      <c r="A42" s="605"/>
      <c r="B42" s="605"/>
      <c r="C42" s="605"/>
      <c r="D42" s="605"/>
      <c r="E42" s="8"/>
      <c r="F42" s="8"/>
      <c r="G42" s="8"/>
      <c r="H42" s="8"/>
      <c r="I42" s="8"/>
      <c r="J42" s="8"/>
      <c r="K42" s="8"/>
      <c r="L42" s="8"/>
      <c r="M42" s="8"/>
    </row>
    <row r="43" spans="1:13" s="10" customFormat="1">
      <c r="E43" s="8"/>
      <c r="F43" s="8"/>
      <c r="G43" s="8"/>
      <c r="H43" s="8"/>
      <c r="I43" s="8"/>
      <c r="J43" s="8"/>
      <c r="K43" s="8"/>
      <c r="L43" s="8"/>
      <c r="M43" s="8"/>
    </row>
    <row r="45" spans="1:13">
      <c r="F45" s="57"/>
    </row>
    <row r="46" spans="1:13">
      <c r="F46" s="57"/>
    </row>
    <row r="47" spans="1:13">
      <c r="F47" s="57"/>
    </row>
    <row r="48" spans="1:13">
      <c r="C48" s="57"/>
      <c r="D48" s="57"/>
      <c r="E48" s="57"/>
      <c r="F48" s="57"/>
    </row>
    <row r="49" spans="1:6">
      <c r="A49" s="1172" t="s">
        <v>79</v>
      </c>
      <c r="B49" s="1172"/>
      <c r="C49" s="57"/>
      <c r="D49" s="57"/>
      <c r="E49" s="57"/>
      <c r="F49" s="57"/>
    </row>
    <row r="50" spans="1:6">
      <c r="A50" s="1172"/>
      <c r="B50" s="1172"/>
      <c r="C50" s="230"/>
      <c r="D50" s="230"/>
      <c r="E50" s="230"/>
      <c r="F50" s="57"/>
    </row>
    <row r="51" spans="1:6">
      <c r="A51" s="277" t="s">
        <v>1333</v>
      </c>
      <c r="B51" s="272">
        <v>0</v>
      </c>
      <c r="C51" s="278"/>
      <c r="D51" s="278"/>
      <c r="E51" s="57"/>
      <c r="F51" s="57"/>
    </row>
    <row r="52" spans="1:6">
      <c r="A52" s="277" t="s">
        <v>1521</v>
      </c>
      <c r="B52" s="272">
        <v>0</v>
      </c>
      <c r="C52" s="57"/>
      <c r="D52" s="57"/>
      <c r="E52" s="57"/>
      <c r="F52" s="57"/>
    </row>
    <row r="53" spans="1:6">
      <c r="C53" s="57"/>
      <c r="D53" s="57"/>
      <c r="E53" s="57"/>
    </row>
    <row r="54" spans="1:6">
      <c r="A54" s="279" t="s">
        <v>1527</v>
      </c>
      <c r="C54" s="57"/>
      <c r="D54" s="57"/>
      <c r="E54" s="57"/>
    </row>
    <row r="55" spans="1:6">
      <c r="C55" s="57"/>
      <c r="D55" s="57"/>
      <c r="E55" s="57"/>
    </row>
  </sheetData>
  <sheetProtection selectLockedCells="1" selectUnlockedCells="1"/>
  <mergeCells count="72">
    <mergeCell ref="A49:B50"/>
    <mergeCell ref="A32:D32"/>
    <mergeCell ref="F35:I35"/>
    <mergeCell ref="F36:I36"/>
    <mergeCell ref="F37:I37"/>
    <mergeCell ref="A38:D42"/>
    <mergeCell ref="F38:I38"/>
    <mergeCell ref="A27:D27"/>
    <mergeCell ref="F27:F28"/>
    <mergeCell ref="G27:G28"/>
    <mergeCell ref="I27:I28"/>
    <mergeCell ref="A28:A29"/>
    <mergeCell ref="B28:B29"/>
    <mergeCell ref="C28:C29"/>
    <mergeCell ref="D28:D29"/>
    <mergeCell ref="F29:F30"/>
    <mergeCell ref="G29:G30"/>
    <mergeCell ref="I29:I30"/>
    <mergeCell ref="A30:A31"/>
    <mergeCell ref="B30:B31"/>
    <mergeCell ref="C30:C31"/>
    <mergeCell ref="D30:D31"/>
    <mergeCell ref="F31:I31"/>
    <mergeCell ref="A22:A24"/>
    <mergeCell ref="B22:B24"/>
    <mergeCell ref="C22:C24"/>
    <mergeCell ref="D22:D24"/>
    <mergeCell ref="F22:I22"/>
    <mergeCell ref="F23:F24"/>
    <mergeCell ref="G23:G24"/>
    <mergeCell ref="H23:H30"/>
    <mergeCell ref="I23:I24"/>
    <mergeCell ref="A25:A26"/>
    <mergeCell ref="B25:B26"/>
    <mergeCell ref="C25:C26"/>
    <mergeCell ref="D25:D26"/>
    <mergeCell ref="F25:F26"/>
    <mergeCell ref="G25:G26"/>
    <mergeCell ref="I25:I26"/>
    <mergeCell ref="H17:H21"/>
    <mergeCell ref="A19:D19"/>
    <mergeCell ref="G19:G20"/>
    <mergeCell ref="I19:I20"/>
    <mergeCell ref="A20:A21"/>
    <mergeCell ref="B20:B21"/>
    <mergeCell ref="C20:C21"/>
    <mergeCell ref="D20:D21"/>
    <mergeCell ref="A17:A18"/>
    <mergeCell ref="B17:B18"/>
    <mergeCell ref="C17:C18"/>
    <mergeCell ref="D17:D18"/>
    <mergeCell ref="F17:F21"/>
    <mergeCell ref="A13:I13"/>
    <mergeCell ref="D14:E14"/>
    <mergeCell ref="G14:H14"/>
    <mergeCell ref="A16:D16"/>
    <mergeCell ref="F16:I16"/>
    <mergeCell ref="G6:G8"/>
    <mergeCell ref="I6:I8"/>
    <mergeCell ref="F7:F8"/>
    <mergeCell ref="H7:H8"/>
    <mergeCell ref="A8:A9"/>
    <mergeCell ref="B8:B9"/>
    <mergeCell ref="C8:C9"/>
    <mergeCell ref="D8:D9"/>
    <mergeCell ref="F9:I9"/>
    <mergeCell ref="A1:D1"/>
    <mergeCell ref="A2:F2"/>
    <mergeCell ref="L2:M2"/>
    <mergeCell ref="D3:E3"/>
    <mergeCell ref="A4:B4"/>
    <mergeCell ref="F4:G4"/>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7" firstPageNumber="0" orientation="landscape" horizontalDpi="300" verticalDpi="300" r:id="rId1"/>
  <headerFooter scaleWithDoc="0">
    <oddHeader xml:space="preserve">&amp;L&amp;G&amp;R&amp;5Центр поддержки клиентов Grand Line: +7 (495) 748-38-38
cайт: www.grandline.ru   </oddHeader>
  </headerFooter>
  <rowBreaks count="1" manualBreakCount="1">
    <brk id="45" max="16383" man="1"/>
  </rowBreaks>
  <drawing r:id="rId2"/>
  <legacyDrawingHF r:id="rId3"/>
</worksheet>
</file>

<file path=xl/worksheets/sheet12.xml><?xml version="1.0" encoding="utf-8"?>
<worksheet xmlns="http://schemas.openxmlformats.org/spreadsheetml/2006/main" xmlns:r="http://schemas.openxmlformats.org/officeDocument/2006/relationships">
  <sheetPr>
    <pageSetUpPr fitToPage="1"/>
  </sheetPr>
  <dimension ref="A1:U78"/>
  <sheetViews>
    <sheetView zoomScale="75" zoomScaleNormal="75" workbookViewId="0">
      <pane xSplit="2" ySplit="6" topLeftCell="C37" activePane="bottomRight" state="frozen"/>
      <selection pane="topRight"/>
      <selection pane="bottomLeft"/>
      <selection pane="bottomRight" sqref="A1:D1"/>
    </sheetView>
  </sheetViews>
  <sheetFormatPr defaultRowHeight="12.75"/>
  <cols>
    <col min="1" max="1" width="35.28515625" style="4" customWidth="1"/>
    <col min="2" max="2" width="41.42578125" style="4" customWidth="1"/>
    <col min="3" max="3" width="68" style="84" customWidth="1"/>
    <col min="4" max="4" width="27.85546875" style="4" customWidth="1"/>
    <col min="5" max="5" width="37.42578125" style="4" customWidth="1"/>
    <col min="6" max="6" width="27.7109375" style="4" customWidth="1"/>
    <col min="7" max="7" width="15.140625" style="4" customWidth="1"/>
    <col min="8" max="8" width="11.5703125" style="4" customWidth="1"/>
    <col min="9" max="9" width="5" style="4" customWidth="1"/>
    <col min="10" max="10" width="10" style="4" customWidth="1"/>
    <col min="11" max="11" width="11.85546875" style="4" customWidth="1"/>
    <col min="12" max="12" width="10.7109375" style="4" customWidth="1"/>
    <col min="13" max="13" width="11.28515625" style="4" customWidth="1"/>
    <col min="14" max="14" width="12" style="4" customWidth="1"/>
    <col min="15" max="16384" width="9.140625" style="4"/>
  </cols>
  <sheetData>
    <row r="1" spans="1:21">
      <c r="A1" s="655" t="s">
        <v>19</v>
      </c>
      <c r="B1" s="655"/>
      <c r="C1" s="655"/>
      <c r="D1" s="655"/>
    </row>
    <row r="2" spans="1:21" ht="18.75" thickBot="1">
      <c r="A2" s="615" t="s">
        <v>1454</v>
      </c>
      <c r="B2" s="615"/>
      <c r="C2" s="615"/>
      <c r="D2" s="615"/>
      <c r="E2" s="615"/>
      <c r="F2" s="615"/>
      <c r="G2" s="615"/>
      <c r="H2" s="615"/>
      <c r="I2" s="615"/>
      <c r="J2" s="615"/>
      <c r="K2" s="79"/>
      <c r="L2" s="79"/>
      <c r="M2" s="79" t="s">
        <v>20</v>
      </c>
      <c r="N2" s="184">
        <v>43906</v>
      </c>
    </row>
    <row r="3" spans="1:21">
      <c r="G3" s="185"/>
      <c r="I3" s="185"/>
      <c r="J3" s="185"/>
      <c r="K3" s="185"/>
      <c r="L3" s="185"/>
      <c r="M3" s="185" t="s">
        <v>21</v>
      </c>
      <c r="N3" s="186">
        <v>43906</v>
      </c>
      <c r="O3" s="187"/>
      <c r="P3" s="187"/>
      <c r="Q3" s="187"/>
      <c r="R3" s="187"/>
    </row>
    <row r="4" spans="1:21" ht="25.5" customHeight="1">
      <c r="A4" s="514" t="s">
        <v>1160</v>
      </c>
      <c r="B4" s="514" t="s">
        <v>1161</v>
      </c>
      <c r="C4" s="676" t="s">
        <v>1162</v>
      </c>
      <c r="D4" s="1113" t="s">
        <v>1163</v>
      </c>
      <c r="E4" s="513" t="s">
        <v>1164</v>
      </c>
      <c r="F4" s="513"/>
      <c r="G4" s="676" t="s">
        <v>1165</v>
      </c>
      <c r="H4" s="676" t="s">
        <v>1166</v>
      </c>
      <c r="I4" s="676" t="s">
        <v>1167</v>
      </c>
      <c r="J4" s="578" t="s">
        <v>1168</v>
      </c>
      <c r="K4" s="579"/>
      <c r="L4" s="579"/>
      <c r="M4" s="579"/>
      <c r="N4" s="580"/>
      <c r="O4" s="53"/>
      <c r="P4" s="53"/>
      <c r="Q4" s="53"/>
      <c r="R4" s="53"/>
    </row>
    <row r="5" spans="1:21" ht="27" customHeight="1">
      <c r="A5" s="514"/>
      <c r="B5" s="514"/>
      <c r="C5" s="722"/>
      <c r="D5" s="1114"/>
      <c r="E5" s="424" t="s">
        <v>1169</v>
      </c>
      <c r="F5" s="424" t="s">
        <v>1170</v>
      </c>
      <c r="G5" s="722"/>
      <c r="H5" s="722"/>
      <c r="I5" s="722"/>
      <c r="J5" s="15" t="s">
        <v>850</v>
      </c>
      <c r="K5" s="15" t="s">
        <v>1283</v>
      </c>
      <c r="L5" s="15" t="s">
        <v>130</v>
      </c>
      <c r="M5" s="15" t="s">
        <v>131</v>
      </c>
      <c r="N5" s="39" t="s">
        <v>853</v>
      </c>
      <c r="O5" s="187"/>
      <c r="P5" s="53"/>
      <c r="Q5" s="187"/>
      <c r="R5" s="40"/>
    </row>
    <row r="6" spans="1:21" s="189" customFormat="1">
      <c r="A6" s="188" t="s">
        <v>1171</v>
      </c>
      <c r="B6" s="64"/>
      <c r="C6" s="39"/>
      <c r="D6" s="64"/>
      <c r="E6" s="64"/>
      <c r="F6" s="64"/>
      <c r="G6" s="39"/>
      <c r="H6" s="39"/>
      <c r="I6" s="39"/>
      <c r="J6" s="39"/>
      <c r="K6" s="39"/>
      <c r="L6" s="39"/>
      <c r="M6" s="15"/>
      <c r="N6" s="39"/>
      <c r="O6" s="187"/>
      <c r="P6" s="187"/>
      <c r="Q6" s="187"/>
      <c r="R6" s="187"/>
    </row>
    <row r="7" spans="1:21" s="189" customFormat="1" ht="25.5">
      <c r="A7" s="190" t="s">
        <v>1172</v>
      </c>
      <c r="B7" s="191" t="s">
        <v>1173</v>
      </c>
      <c r="C7" s="1173" t="s">
        <v>1174</v>
      </c>
      <c r="D7" s="69" t="s">
        <v>1175</v>
      </c>
      <c r="E7" s="736">
        <v>110</v>
      </c>
      <c r="F7" s="659" t="s">
        <v>1176</v>
      </c>
      <c r="G7" s="1175">
        <v>6.5</v>
      </c>
      <c r="H7" s="1175">
        <v>1.21</v>
      </c>
      <c r="I7" s="193" t="s">
        <v>137</v>
      </c>
      <c r="J7" s="61">
        <f>306*Belarus</f>
        <v>306</v>
      </c>
      <c r="K7" s="61">
        <f>$J7</f>
        <v>306</v>
      </c>
      <c r="L7" s="61">
        <f t="shared" ref="L7:N9" si="0">$J7</f>
        <v>306</v>
      </c>
      <c r="M7" s="61">
        <f t="shared" si="0"/>
        <v>306</v>
      </c>
      <c r="N7" s="61">
        <f>$J7</f>
        <v>306</v>
      </c>
      <c r="O7" s="187"/>
      <c r="P7" s="187"/>
      <c r="Q7" s="187"/>
      <c r="R7" s="187"/>
    </row>
    <row r="8" spans="1:21" s="189" customFormat="1" ht="25.5">
      <c r="A8" s="190" t="s">
        <v>1177</v>
      </c>
      <c r="B8" s="194" t="s">
        <v>1178</v>
      </c>
      <c r="C8" s="1174"/>
      <c r="D8" s="69" t="s">
        <v>1179</v>
      </c>
      <c r="E8" s="737"/>
      <c r="F8" s="660"/>
      <c r="G8" s="1176"/>
      <c r="H8" s="1176"/>
      <c r="I8" s="193" t="s">
        <v>137</v>
      </c>
      <c r="J8" s="61">
        <f>363*Belarus</f>
        <v>363</v>
      </c>
      <c r="K8" s="61">
        <f>$J8</f>
        <v>363</v>
      </c>
      <c r="L8" s="61">
        <f t="shared" si="0"/>
        <v>363</v>
      </c>
      <c r="M8" s="61">
        <f t="shared" si="0"/>
        <v>363</v>
      </c>
      <c r="N8" s="61">
        <f t="shared" si="0"/>
        <v>363</v>
      </c>
      <c r="O8" s="187"/>
      <c r="P8" s="187"/>
      <c r="Q8" s="187"/>
      <c r="R8" s="187"/>
    </row>
    <row r="9" spans="1:21" s="189" customFormat="1" ht="25.5" customHeight="1">
      <c r="A9" s="190" t="s">
        <v>1180</v>
      </c>
      <c r="B9" s="191" t="s">
        <v>1181</v>
      </c>
      <c r="C9" s="1173" t="s">
        <v>1182</v>
      </c>
      <c r="D9" s="69" t="s">
        <v>1175</v>
      </c>
      <c r="E9" s="150">
        <v>110</v>
      </c>
      <c r="F9" s="150">
        <v>6</v>
      </c>
      <c r="G9" s="1175">
        <v>6.5</v>
      </c>
      <c r="H9" s="1175">
        <v>1.21</v>
      </c>
      <c r="I9" s="193" t="s">
        <v>137</v>
      </c>
      <c r="J9" s="61">
        <f>428*Belarus</f>
        <v>428</v>
      </c>
      <c r="K9" s="61">
        <f>$J9</f>
        <v>428</v>
      </c>
      <c r="L9" s="61">
        <f t="shared" si="0"/>
        <v>428</v>
      </c>
      <c r="M9" s="61">
        <f t="shared" si="0"/>
        <v>428</v>
      </c>
      <c r="N9" s="61">
        <f t="shared" si="0"/>
        <v>428</v>
      </c>
      <c r="O9" s="187"/>
      <c r="P9" s="187"/>
      <c r="Q9" s="187"/>
      <c r="R9" s="187"/>
    </row>
    <row r="10" spans="1:21" s="189" customFormat="1" ht="26.25" customHeight="1">
      <c r="A10" s="190" t="s">
        <v>1530</v>
      </c>
      <c r="B10" s="191" t="s">
        <v>1531</v>
      </c>
      <c r="C10" s="1174"/>
      <c r="D10" s="69" t="s">
        <v>1179</v>
      </c>
      <c r="E10" s="284">
        <v>110</v>
      </c>
      <c r="F10" s="227" t="s">
        <v>1176</v>
      </c>
      <c r="G10" s="1176"/>
      <c r="H10" s="1176"/>
      <c r="I10" s="193" t="s">
        <v>137</v>
      </c>
      <c r="J10" s="61">
        <f>452*Belarus</f>
        <v>452</v>
      </c>
      <c r="K10" s="61" t="s">
        <v>51</v>
      </c>
      <c r="L10" s="61" t="s">
        <v>51</v>
      </c>
      <c r="M10" s="61" t="s">
        <v>51</v>
      </c>
      <c r="N10" s="61" t="s">
        <v>51</v>
      </c>
      <c r="O10" s="187"/>
      <c r="P10" s="187"/>
      <c r="Q10" s="187"/>
      <c r="R10" s="187"/>
    </row>
    <row r="11" spans="1:21" s="67" customFormat="1" ht="27.75" customHeight="1">
      <c r="A11" s="197" t="s">
        <v>1532</v>
      </c>
      <c r="B11" s="294" t="s">
        <v>1594</v>
      </c>
      <c r="C11" s="1173" t="s">
        <v>1183</v>
      </c>
      <c r="D11" s="101" t="s">
        <v>1175</v>
      </c>
      <c r="E11" s="617">
        <v>110</v>
      </c>
      <c r="F11" s="637" t="s">
        <v>1176</v>
      </c>
      <c r="G11" s="1175">
        <v>6.5</v>
      </c>
      <c r="H11" s="1175">
        <v>1.21</v>
      </c>
      <c r="I11" s="193" t="s">
        <v>137</v>
      </c>
      <c r="J11" s="61" t="s">
        <v>51</v>
      </c>
      <c r="K11" s="61">
        <f>367*Belarus</f>
        <v>367</v>
      </c>
      <c r="L11" s="61">
        <f>367*Belarus</f>
        <v>367</v>
      </c>
      <c r="M11" s="63" t="s">
        <v>51</v>
      </c>
      <c r="N11" s="61" t="s">
        <v>51</v>
      </c>
      <c r="O11" s="41"/>
      <c r="P11" s="41"/>
      <c r="Q11" s="41"/>
      <c r="R11" s="41"/>
    </row>
    <row r="12" spans="1:21" s="67" customFormat="1" ht="27.75" customHeight="1">
      <c r="A12" s="197" t="s">
        <v>1533</v>
      </c>
      <c r="B12" s="294" t="s">
        <v>1595</v>
      </c>
      <c r="C12" s="1174"/>
      <c r="D12" s="101" t="s">
        <v>1179</v>
      </c>
      <c r="E12" s="618"/>
      <c r="F12" s="638"/>
      <c r="G12" s="1176"/>
      <c r="H12" s="1176"/>
      <c r="I12" s="193" t="s">
        <v>137</v>
      </c>
      <c r="J12" s="61" t="s">
        <v>51</v>
      </c>
      <c r="K12" s="61">
        <f>424*Belarus</f>
        <v>424</v>
      </c>
      <c r="L12" s="61">
        <f>424*Belarus</f>
        <v>424</v>
      </c>
      <c r="M12" s="63" t="s">
        <v>51</v>
      </c>
      <c r="N12" s="61" t="s">
        <v>51</v>
      </c>
      <c r="O12" s="41"/>
      <c r="P12" s="41"/>
      <c r="Q12" s="41"/>
      <c r="R12" s="41"/>
    </row>
    <row r="13" spans="1:21" s="189" customFormat="1" ht="25.5">
      <c r="A13" s="190" t="s">
        <v>1184</v>
      </c>
      <c r="B13" s="191" t="s">
        <v>1185</v>
      </c>
      <c r="C13" s="196" t="s">
        <v>1186</v>
      </c>
      <c r="D13" s="150" t="s">
        <v>1187</v>
      </c>
      <c r="E13" s="150">
        <v>100</v>
      </c>
      <c r="F13" s="69" t="s">
        <v>1176</v>
      </c>
      <c r="G13" s="198">
        <v>1</v>
      </c>
      <c r="H13" s="193">
        <v>1.21</v>
      </c>
      <c r="I13" s="193" t="s">
        <v>137</v>
      </c>
      <c r="J13" s="61">
        <f>408*Belarus</f>
        <v>408</v>
      </c>
      <c r="K13" s="61">
        <f>$J13</f>
        <v>408</v>
      </c>
      <c r="L13" s="61">
        <f t="shared" ref="L13:N14" si="1">$J13</f>
        <v>408</v>
      </c>
      <c r="M13" s="61">
        <f t="shared" si="1"/>
        <v>408</v>
      </c>
      <c r="N13" s="61">
        <f t="shared" si="1"/>
        <v>408</v>
      </c>
      <c r="O13" s="187"/>
      <c r="P13" s="187"/>
      <c r="Q13" s="187"/>
      <c r="R13" s="187"/>
    </row>
    <row r="14" spans="1:21" s="189" customFormat="1" ht="25.5">
      <c r="A14" s="190" t="s">
        <v>1188</v>
      </c>
      <c r="B14" s="191" t="s">
        <v>1189</v>
      </c>
      <c r="C14" s="196" t="s">
        <v>1190</v>
      </c>
      <c r="D14" s="150" t="s">
        <v>1187</v>
      </c>
      <c r="E14" s="150">
        <v>200</v>
      </c>
      <c r="F14" s="69" t="s">
        <v>1191</v>
      </c>
      <c r="G14" s="199">
        <v>1.67</v>
      </c>
      <c r="H14" s="193">
        <v>1.21</v>
      </c>
      <c r="I14" s="193" t="s">
        <v>137</v>
      </c>
      <c r="J14" s="61">
        <f>673*Belarus</f>
        <v>673</v>
      </c>
      <c r="K14" s="61">
        <f>$J14</f>
        <v>673</v>
      </c>
      <c r="L14" s="61">
        <f t="shared" si="1"/>
        <v>673</v>
      </c>
      <c r="M14" s="61">
        <f t="shared" si="1"/>
        <v>673</v>
      </c>
      <c r="N14" s="61">
        <f t="shared" si="1"/>
        <v>673</v>
      </c>
      <c r="O14" s="187"/>
      <c r="P14" s="187"/>
      <c r="Q14" s="187"/>
      <c r="R14" s="187"/>
    </row>
    <row r="15" spans="1:21" s="189" customFormat="1">
      <c r="A15" s="188" t="s">
        <v>1192</v>
      </c>
      <c r="B15" s="64"/>
      <c r="C15" s="39"/>
      <c r="D15" s="64"/>
      <c r="E15" s="64"/>
      <c r="F15" s="64"/>
      <c r="G15" s="39"/>
      <c r="H15" s="39"/>
      <c r="I15" s="39"/>
      <c r="J15" s="39"/>
      <c r="K15" s="39"/>
      <c r="L15" s="39"/>
      <c r="M15" s="15"/>
      <c r="N15" s="39"/>
      <c r="O15" s="187"/>
      <c r="P15" s="187"/>
      <c r="Q15" s="187"/>
      <c r="R15" s="187"/>
    </row>
    <row r="16" spans="1:21" s="346" customFormat="1" ht="43.5" customHeight="1">
      <c r="A16" s="1186" t="s">
        <v>1193</v>
      </c>
      <c r="B16" s="298" t="s">
        <v>1194</v>
      </c>
      <c r="C16" s="196" t="s">
        <v>1195</v>
      </c>
      <c r="D16" s="101" t="s">
        <v>1196</v>
      </c>
      <c r="E16" s="637" t="s">
        <v>1534</v>
      </c>
      <c r="F16" s="637" t="s">
        <v>1841</v>
      </c>
      <c r="G16" s="347" t="s">
        <v>1697</v>
      </c>
      <c r="H16" s="1183">
        <v>1.21</v>
      </c>
      <c r="I16" s="1175" t="s">
        <v>137</v>
      </c>
      <c r="J16" s="61">
        <f t="shared" ref="J16:J24" si="2">98*Belarus</f>
        <v>98</v>
      </c>
      <c r="K16" s="61">
        <f>$J16</f>
        <v>98</v>
      </c>
      <c r="L16" s="61">
        <f t="shared" ref="L16:N19" si="3">$J16</f>
        <v>98</v>
      </c>
      <c r="M16" s="61">
        <f t="shared" si="3"/>
        <v>98</v>
      </c>
      <c r="N16" s="61">
        <f t="shared" si="3"/>
        <v>98</v>
      </c>
      <c r="P16" s="355"/>
      <c r="Q16" s="355"/>
      <c r="R16" s="355"/>
      <c r="S16" s="355"/>
      <c r="T16" s="355"/>
      <c r="U16" s="355"/>
    </row>
    <row r="17" spans="1:21" s="346" customFormat="1" ht="24" customHeight="1">
      <c r="A17" s="1187"/>
      <c r="B17" s="298" t="s">
        <v>1596</v>
      </c>
      <c r="C17" s="196" t="s">
        <v>1503</v>
      </c>
      <c r="D17" s="101" t="s">
        <v>1196</v>
      </c>
      <c r="E17" s="638"/>
      <c r="F17" s="638"/>
      <c r="G17" s="267">
        <v>8</v>
      </c>
      <c r="H17" s="1184"/>
      <c r="I17" s="1177"/>
      <c r="J17" s="61" t="s">
        <v>51</v>
      </c>
      <c r="K17" s="61">
        <f>220*Belarus</f>
        <v>220</v>
      </c>
      <c r="L17" s="61">
        <f>220*Belarus</f>
        <v>220</v>
      </c>
      <c r="M17" s="61" t="s">
        <v>51</v>
      </c>
      <c r="N17" s="61" t="s">
        <v>51</v>
      </c>
      <c r="P17" s="355"/>
      <c r="Q17" s="355"/>
      <c r="R17" s="355"/>
      <c r="S17" s="355"/>
      <c r="T17" s="355"/>
      <c r="U17" s="355"/>
    </row>
    <row r="18" spans="1:21" s="346" customFormat="1" ht="25.5">
      <c r="A18" s="1187"/>
      <c r="B18" s="298" t="s">
        <v>1197</v>
      </c>
      <c r="C18" s="196" t="s">
        <v>1195</v>
      </c>
      <c r="D18" s="101" t="s">
        <v>1198</v>
      </c>
      <c r="E18" s="101">
        <v>200</v>
      </c>
      <c r="F18" s="101">
        <v>11</v>
      </c>
      <c r="G18" s="198">
        <v>6</v>
      </c>
      <c r="H18" s="1185"/>
      <c r="I18" s="1177"/>
      <c r="J18" s="61">
        <f t="shared" si="2"/>
        <v>98</v>
      </c>
      <c r="K18" s="61" t="s">
        <v>51</v>
      </c>
      <c r="L18" s="61">
        <f>$J18</f>
        <v>98</v>
      </c>
      <c r="M18" s="61">
        <f t="shared" si="3"/>
        <v>98</v>
      </c>
      <c r="N18" s="61">
        <f t="shared" si="3"/>
        <v>98</v>
      </c>
      <c r="P18" s="355"/>
      <c r="Q18" s="355"/>
      <c r="R18" s="355"/>
      <c r="S18" s="355"/>
      <c r="T18" s="355"/>
      <c r="U18" s="355"/>
    </row>
    <row r="19" spans="1:21" s="67" customFormat="1" ht="15">
      <c r="A19" s="1187"/>
      <c r="B19" s="298" t="s">
        <v>1199</v>
      </c>
      <c r="C19" s="196" t="s">
        <v>1262</v>
      </c>
      <c r="D19" s="587" t="s">
        <v>1200</v>
      </c>
      <c r="E19" s="587">
        <v>200</v>
      </c>
      <c r="F19" s="587">
        <v>6</v>
      </c>
      <c r="G19" s="198">
        <v>12</v>
      </c>
      <c r="H19" s="1178">
        <v>1.1000000000000001</v>
      </c>
      <c r="I19" s="1177"/>
      <c r="J19" s="61">
        <f t="shared" si="2"/>
        <v>98</v>
      </c>
      <c r="K19" s="61">
        <f>$J19</f>
        <v>98</v>
      </c>
      <c r="L19" s="61">
        <f>$J19</f>
        <v>98</v>
      </c>
      <c r="M19" s="61">
        <f t="shared" si="3"/>
        <v>98</v>
      </c>
      <c r="N19" s="61">
        <f t="shared" si="3"/>
        <v>98</v>
      </c>
      <c r="P19" s="355"/>
      <c r="Q19" s="355"/>
      <c r="R19" s="355"/>
      <c r="S19" s="355"/>
      <c r="T19" s="355"/>
      <c r="U19" s="355"/>
    </row>
    <row r="20" spans="1:21" s="67" customFormat="1" ht="15" hidden="1" customHeight="1">
      <c r="A20" s="1187"/>
      <c r="B20" s="298" t="s">
        <v>1535</v>
      </c>
      <c r="C20" s="196" t="s">
        <v>1503</v>
      </c>
      <c r="D20" s="587"/>
      <c r="E20" s="587"/>
      <c r="F20" s="587"/>
      <c r="G20" s="299"/>
      <c r="H20" s="1179"/>
      <c r="I20" s="1177"/>
      <c r="J20" s="61" t="s">
        <v>51</v>
      </c>
      <c r="K20" s="61"/>
      <c r="L20" s="61" t="s">
        <v>51</v>
      </c>
      <c r="M20" s="61" t="s">
        <v>51</v>
      </c>
      <c r="N20" s="61" t="s">
        <v>51</v>
      </c>
      <c r="P20" s="355"/>
      <c r="Q20" s="355"/>
      <c r="R20" s="355"/>
      <c r="S20" s="355"/>
      <c r="T20" s="355"/>
      <c r="U20" s="355"/>
    </row>
    <row r="21" spans="1:21" s="67" customFormat="1" ht="15">
      <c r="A21" s="1187"/>
      <c r="B21" s="298" t="s">
        <v>1587</v>
      </c>
      <c r="C21" s="196" t="s">
        <v>1588</v>
      </c>
      <c r="D21" s="100" t="s">
        <v>1589</v>
      </c>
      <c r="E21" s="101">
        <v>200</v>
      </c>
      <c r="F21" s="101">
        <v>1</v>
      </c>
      <c r="G21" s="299">
        <v>13</v>
      </c>
      <c r="H21" s="200">
        <v>1.1000000000000001</v>
      </c>
      <c r="I21" s="1177"/>
      <c r="J21" s="61"/>
      <c r="K21" s="61">
        <f>200*Belarus</f>
        <v>200</v>
      </c>
      <c r="L21" s="61">
        <f>200*Belarus</f>
        <v>200</v>
      </c>
      <c r="M21" s="61"/>
      <c r="N21" s="61"/>
      <c r="P21" s="355"/>
      <c r="Q21" s="355"/>
      <c r="R21" s="355"/>
      <c r="S21" s="355"/>
      <c r="T21" s="355"/>
      <c r="U21" s="355"/>
    </row>
    <row r="22" spans="1:21" s="67" customFormat="1" ht="25.5">
      <c r="A22" s="1187"/>
      <c r="B22" s="298" t="s">
        <v>1201</v>
      </c>
      <c r="C22" s="1190" t="s">
        <v>1262</v>
      </c>
      <c r="D22" s="101" t="s">
        <v>1202</v>
      </c>
      <c r="E22" s="101">
        <v>100</v>
      </c>
      <c r="F22" s="101">
        <v>6</v>
      </c>
      <c r="G22" s="1180">
        <v>12</v>
      </c>
      <c r="H22" s="200">
        <v>1.1000000000000001</v>
      </c>
      <c r="I22" s="1177"/>
      <c r="J22" s="61">
        <f t="shared" si="2"/>
        <v>98</v>
      </c>
      <c r="K22" s="61">
        <f t="shared" ref="K22:N29" si="4">$J22</f>
        <v>98</v>
      </c>
      <c r="L22" s="61">
        <f t="shared" si="4"/>
        <v>98</v>
      </c>
      <c r="M22" s="61">
        <f t="shared" si="4"/>
        <v>98</v>
      </c>
      <c r="N22" s="61">
        <f t="shared" si="4"/>
        <v>98</v>
      </c>
      <c r="P22" s="355"/>
      <c r="Q22" s="355"/>
      <c r="R22" s="355"/>
      <c r="S22" s="355"/>
      <c r="T22" s="355"/>
      <c r="U22" s="355"/>
    </row>
    <row r="23" spans="1:21" s="67" customFormat="1" ht="25.5">
      <c r="A23" s="1187"/>
      <c r="B23" s="298" t="s">
        <v>1203</v>
      </c>
      <c r="C23" s="1190"/>
      <c r="D23" s="101" t="s">
        <v>1204</v>
      </c>
      <c r="E23" s="101" t="s">
        <v>1205</v>
      </c>
      <c r="F23" s="101"/>
      <c r="G23" s="1181"/>
      <c r="H23" s="200">
        <v>0.93</v>
      </c>
      <c r="I23" s="1177"/>
      <c r="J23" s="61">
        <f t="shared" si="2"/>
        <v>98</v>
      </c>
      <c r="K23" s="61">
        <f t="shared" si="4"/>
        <v>98</v>
      </c>
      <c r="L23" s="61">
        <f t="shared" si="4"/>
        <v>98</v>
      </c>
      <c r="M23" s="61">
        <f t="shared" si="4"/>
        <v>98</v>
      </c>
      <c r="N23" s="61">
        <f t="shared" si="4"/>
        <v>98</v>
      </c>
      <c r="P23" s="355"/>
      <c r="Q23" s="355"/>
      <c r="R23" s="355"/>
      <c r="S23" s="355"/>
      <c r="T23" s="355"/>
      <c r="U23" s="355"/>
    </row>
    <row r="24" spans="1:21" s="67" customFormat="1" ht="25.5">
      <c r="A24" s="1188"/>
      <c r="B24" s="298" t="s">
        <v>1206</v>
      </c>
      <c r="C24" s="1190"/>
      <c r="D24" s="101" t="s">
        <v>1207</v>
      </c>
      <c r="E24" s="101" t="s">
        <v>1480</v>
      </c>
      <c r="F24" s="101"/>
      <c r="G24" s="1182"/>
      <c r="H24" s="200">
        <v>0.83</v>
      </c>
      <c r="I24" s="1176"/>
      <c r="J24" s="61">
        <f t="shared" si="2"/>
        <v>98</v>
      </c>
      <c r="K24" s="61">
        <f t="shared" si="4"/>
        <v>98</v>
      </c>
      <c r="L24" s="61">
        <f t="shared" si="4"/>
        <v>98</v>
      </c>
      <c r="M24" s="61">
        <f t="shared" si="4"/>
        <v>98</v>
      </c>
      <c r="N24" s="61">
        <f t="shared" si="4"/>
        <v>98</v>
      </c>
      <c r="P24" s="355"/>
      <c r="Q24" s="355"/>
      <c r="R24" s="355"/>
      <c r="S24" s="355"/>
      <c r="T24" s="355"/>
      <c r="U24" s="355"/>
    </row>
    <row r="25" spans="1:21" s="67" customFormat="1" ht="15">
      <c r="A25" s="1186" t="s">
        <v>1208</v>
      </c>
      <c r="B25" s="298" t="s">
        <v>1209</v>
      </c>
      <c r="C25" s="196" t="s">
        <v>1210</v>
      </c>
      <c r="D25" s="637" t="s">
        <v>1196</v>
      </c>
      <c r="E25" s="587">
        <v>200</v>
      </c>
      <c r="F25" s="587">
        <v>1</v>
      </c>
      <c r="G25" s="198">
        <v>8</v>
      </c>
      <c r="H25" s="1189">
        <v>1.21</v>
      </c>
      <c r="I25" s="1175" t="s">
        <v>137</v>
      </c>
      <c r="J25" s="111">
        <f>306*Belarus</f>
        <v>306</v>
      </c>
      <c r="K25" s="61">
        <f t="shared" si="4"/>
        <v>306</v>
      </c>
      <c r="L25" s="61">
        <f t="shared" si="4"/>
        <v>306</v>
      </c>
      <c r="M25" s="61">
        <f t="shared" si="4"/>
        <v>306</v>
      </c>
      <c r="N25" s="61">
        <f t="shared" si="4"/>
        <v>306</v>
      </c>
    </row>
    <row r="26" spans="1:21" s="67" customFormat="1" ht="15" hidden="1" customHeight="1">
      <c r="A26" s="1187"/>
      <c r="B26" s="298" t="s">
        <v>1536</v>
      </c>
      <c r="C26" s="196" t="s">
        <v>1537</v>
      </c>
      <c r="D26" s="638"/>
      <c r="E26" s="587"/>
      <c r="F26" s="587"/>
      <c r="G26" s="300"/>
      <c r="H26" s="1189"/>
      <c r="I26" s="1177"/>
      <c r="J26" s="61" t="s">
        <v>51</v>
      </c>
      <c r="K26" s="61"/>
      <c r="L26" s="61" t="s">
        <v>51</v>
      </c>
      <c r="M26" s="61" t="s">
        <v>51</v>
      </c>
      <c r="N26" s="61" t="s">
        <v>51</v>
      </c>
    </row>
    <row r="27" spans="1:21" s="67" customFormat="1" ht="15" customHeight="1">
      <c r="A27" s="1187"/>
      <c r="B27" s="298" t="s">
        <v>1590</v>
      </c>
      <c r="C27" s="196" t="s">
        <v>1591</v>
      </c>
      <c r="D27" s="101" t="s">
        <v>1592</v>
      </c>
      <c r="E27" s="101">
        <v>200</v>
      </c>
      <c r="F27" s="101">
        <v>1</v>
      </c>
      <c r="G27" s="198">
        <v>13</v>
      </c>
      <c r="H27" s="1189"/>
      <c r="I27" s="1177"/>
      <c r="J27" s="61">
        <f>350*Belarus</f>
        <v>350</v>
      </c>
      <c r="K27" s="61">
        <f>350*Belarus</f>
        <v>350</v>
      </c>
      <c r="L27" s="61">
        <f>350*Belarus</f>
        <v>350</v>
      </c>
      <c r="M27" s="61"/>
      <c r="N27" s="61"/>
    </row>
    <row r="28" spans="1:21" s="67" customFormat="1" ht="25.5">
      <c r="A28" s="1187"/>
      <c r="B28" s="298" t="s">
        <v>1211</v>
      </c>
      <c r="C28" s="196" t="s">
        <v>1210</v>
      </c>
      <c r="D28" s="101" t="s">
        <v>1198</v>
      </c>
      <c r="E28" s="101">
        <v>100</v>
      </c>
      <c r="F28" s="101">
        <v>10</v>
      </c>
      <c r="G28" s="1191">
        <v>8</v>
      </c>
      <c r="H28" s="1189"/>
      <c r="I28" s="1177"/>
      <c r="J28" s="111" t="s">
        <v>51</v>
      </c>
      <c r="K28" s="111">
        <f>306*Belarus</f>
        <v>306</v>
      </c>
      <c r="L28" s="111" t="s">
        <v>51</v>
      </c>
      <c r="M28" s="111">
        <f>K28</f>
        <v>306</v>
      </c>
      <c r="N28" s="111" t="s">
        <v>51</v>
      </c>
    </row>
    <row r="29" spans="1:21" s="67" customFormat="1" ht="15">
      <c r="A29" s="1187"/>
      <c r="B29" s="298" t="s">
        <v>1212</v>
      </c>
      <c r="C29" s="196" t="s">
        <v>1210</v>
      </c>
      <c r="D29" s="617" t="s">
        <v>1213</v>
      </c>
      <c r="E29" s="490">
        <v>100</v>
      </c>
      <c r="F29" s="490">
        <v>1</v>
      </c>
      <c r="G29" s="1191"/>
      <c r="H29" s="1189">
        <v>1.1000000000000001</v>
      </c>
      <c r="I29" s="1177"/>
      <c r="J29" s="111">
        <f>306*Belarus</f>
        <v>306</v>
      </c>
      <c r="K29" s="61">
        <f t="shared" si="4"/>
        <v>306</v>
      </c>
      <c r="L29" s="61">
        <f t="shared" si="4"/>
        <v>306</v>
      </c>
      <c r="M29" s="61">
        <f t="shared" si="4"/>
        <v>306</v>
      </c>
      <c r="N29" s="61">
        <f t="shared" si="4"/>
        <v>306</v>
      </c>
    </row>
    <row r="30" spans="1:21" s="67" customFormat="1" ht="15" hidden="1" customHeight="1">
      <c r="A30" s="1187"/>
      <c r="B30" s="298" t="s">
        <v>1538</v>
      </c>
      <c r="C30" s="196" t="s">
        <v>1537</v>
      </c>
      <c r="D30" s="618"/>
      <c r="E30" s="490"/>
      <c r="F30" s="490"/>
      <c r="G30" s="301"/>
      <c r="H30" s="1189"/>
      <c r="I30" s="1177"/>
      <c r="J30" s="61" t="s">
        <v>51</v>
      </c>
      <c r="K30" s="61"/>
      <c r="L30" s="61" t="s">
        <v>51</v>
      </c>
      <c r="M30" s="61" t="s">
        <v>51</v>
      </c>
      <c r="N30" s="61" t="s">
        <v>51</v>
      </c>
    </row>
    <row r="31" spans="1:21" s="67" customFormat="1" ht="15">
      <c r="A31" s="1188"/>
      <c r="B31" s="298" t="s">
        <v>1593</v>
      </c>
      <c r="C31" s="196" t="s">
        <v>1591</v>
      </c>
      <c r="D31" s="100" t="s">
        <v>1589</v>
      </c>
      <c r="E31" s="100">
        <v>200</v>
      </c>
      <c r="F31" s="100">
        <v>1</v>
      </c>
      <c r="G31" s="198">
        <v>13</v>
      </c>
      <c r="H31" s="200">
        <v>1.1000000000000001</v>
      </c>
      <c r="I31" s="1176"/>
      <c r="J31" s="61"/>
      <c r="K31" s="61">
        <f>350*Belarus</f>
        <v>350</v>
      </c>
      <c r="L31" s="61">
        <f>350*Belarus</f>
        <v>350</v>
      </c>
      <c r="M31" s="61"/>
      <c r="N31" s="61"/>
    </row>
    <row r="32" spans="1:21" s="189" customFormat="1" ht="32.25" customHeight="1">
      <c r="A32" s="285" t="s">
        <v>1277</v>
      </c>
      <c r="B32" s="298" t="s">
        <v>1539</v>
      </c>
      <c r="C32" s="196" t="s">
        <v>1540</v>
      </c>
      <c r="D32" s="101" t="s">
        <v>1541</v>
      </c>
      <c r="E32" s="100" t="s">
        <v>51</v>
      </c>
      <c r="F32" s="100" t="s">
        <v>51</v>
      </c>
      <c r="G32" s="198">
        <v>8</v>
      </c>
      <c r="H32" s="200" t="s">
        <v>51</v>
      </c>
      <c r="I32" s="193" t="s">
        <v>137</v>
      </c>
      <c r="J32" s="61" t="s">
        <v>51</v>
      </c>
      <c r="K32" s="61" t="s">
        <v>51</v>
      </c>
      <c r="L32" s="61" t="s">
        <v>51</v>
      </c>
      <c r="M32" s="61" t="s">
        <v>51</v>
      </c>
      <c r="N32" s="61">
        <f>66*Belarus</f>
        <v>66</v>
      </c>
    </row>
    <row r="33" spans="1:14" s="189" customFormat="1">
      <c r="A33" s="203" t="s">
        <v>1214</v>
      </c>
      <c r="B33" s="64"/>
      <c r="C33" s="39"/>
      <c r="D33" s="64"/>
      <c r="E33" s="64"/>
      <c r="F33" s="64"/>
      <c r="G33" s="39"/>
      <c r="H33" s="204"/>
      <c r="I33" s="39"/>
      <c r="J33" s="39"/>
      <c r="K33" s="49"/>
      <c r="L33" s="49"/>
      <c r="M33" s="49"/>
      <c r="N33" s="49"/>
    </row>
    <row r="34" spans="1:14" s="189" customFormat="1" ht="15">
      <c r="A34" s="1193" t="s">
        <v>1208</v>
      </c>
      <c r="B34" s="356" t="s">
        <v>1215</v>
      </c>
      <c r="C34" s="1173" t="s">
        <v>1210</v>
      </c>
      <c r="D34" s="69" t="s">
        <v>1216</v>
      </c>
      <c r="E34" s="659" t="s">
        <v>1217</v>
      </c>
      <c r="F34" s="69">
        <v>10</v>
      </c>
      <c r="G34" s="1175">
        <v>6.05</v>
      </c>
      <c r="H34" s="1175" t="s">
        <v>1218</v>
      </c>
      <c r="I34" s="1175" t="s">
        <v>137</v>
      </c>
      <c r="J34" s="695">
        <f>404*Belarus</f>
        <v>404</v>
      </c>
      <c r="K34" s="111">
        <f>J34</f>
        <v>404</v>
      </c>
      <c r="L34" s="695">
        <f>$J34</f>
        <v>404</v>
      </c>
      <c r="M34" s="695">
        <f>$J34</f>
        <v>404</v>
      </c>
      <c r="N34" s="695">
        <f>$J34</f>
        <v>404</v>
      </c>
    </row>
    <row r="35" spans="1:14" s="189" customFormat="1" ht="38.25">
      <c r="A35" s="1193"/>
      <c r="B35" s="356" t="s">
        <v>1219</v>
      </c>
      <c r="C35" s="1194"/>
      <c r="D35" s="205" t="s">
        <v>1220</v>
      </c>
      <c r="E35" s="660"/>
      <c r="F35" s="69"/>
      <c r="G35" s="1177"/>
      <c r="H35" s="1177"/>
      <c r="I35" s="1177"/>
      <c r="J35" s="1192"/>
      <c r="K35" s="111" t="s">
        <v>51</v>
      </c>
      <c r="L35" s="1192"/>
      <c r="M35" s="1192"/>
      <c r="N35" s="1192"/>
    </row>
    <row r="36" spans="1:14" s="189" customFormat="1" ht="15">
      <c r="A36" s="1193"/>
      <c r="B36" s="356" t="s">
        <v>1221</v>
      </c>
      <c r="C36" s="1194"/>
      <c r="D36" s="69" t="s">
        <v>1216</v>
      </c>
      <c r="E36" s="69">
        <v>200</v>
      </c>
      <c r="F36" s="69"/>
      <c r="G36" s="1177"/>
      <c r="H36" s="1177"/>
      <c r="I36" s="1177"/>
      <c r="J36" s="696"/>
      <c r="K36" s="111">
        <f>J34</f>
        <v>404</v>
      </c>
      <c r="L36" s="696"/>
      <c r="M36" s="696"/>
      <c r="N36" s="696"/>
    </row>
    <row r="37" spans="1:14" s="189" customFormat="1" ht="15">
      <c r="A37" s="1193"/>
      <c r="B37" s="356" t="s">
        <v>1222</v>
      </c>
      <c r="C37" s="1174"/>
      <c r="D37" s="69" t="s">
        <v>1223</v>
      </c>
      <c r="E37" s="69">
        <v>1500</v>
      </c>
      <c r="F37" s="69"/>
      <c r="G37" s="1177"/>
      <c r="H37" s="1177"/>
      <c r="I37" s="1177"/>
      <c r="J37" s="111">
        <f>392*Belarus</f>
        <v>392</v>
      </c>
      <c r="K37" s="111">
        <f>$J37</f>
        <v>392</v>
      </c>
      <c r="L37" s="111">
        <f>$J37</f>
        <v>392</v>
      </c>
      <c r="M37" s="111">
        <f>$J37</f>
        <v>392</v>
      </c>
      <c r="N37" s="111">
        <f>$J37</f>
        <v>392</v>
      </c>
    </row>
    <row r="38" spans="1:14" s="189" customFormat="1" ht="25.5">
      <c r="A38" s="1193"/>
      <c r="B38" s="356" t="s">
        <v>1482</v>
      </c>
      <c r="C38" s="258" t="s">
        <v>1481</v>
      </c>
      <c r="D38" s="69" t="s">
        <v>1226</v>
      </c>
      <c r="E38" s="69">
        <v>50</v>
      </c>
      <c r="F38" s="69">
        <v>11</v>
      </c>
      <c r="G38" s="1176"/>
      <c r="H38" s="1176"/>
      <c r="I38" s="1176"/>
      <c r="J38" s="112" t="s">
        <v>51</v>
      </c>
      <c r="K38" s="111" t="s">
        <v>51</v>
      </c>
      <c r="L38" s="112" t="s">
        <v>51</v>
      </c>
      <c r="M38" s="112" t="s">
        <v>51</v>
      </c>
      <c r="N38" s="111">
        <f>430*Belarus</f>
        <v>430</v>
      </c>
    </row>
    <row r="39" spans="1:14" s="67" customFormat="1" ht="15">
      <c r="A39" s="1193" t="s">
        <v>1224</v>
      </c>
      <c r="B39" s="357" t="s">
        <v>1621</v>
      </c>
      <c r="C39" s="206" t="s">
        <v>1225</v>
      </c>
      <c r="D39" s="207" t="s">
        <v>1226</v>
      </c>
      <c r="E39" s="207" t="s">
        <v>1227</v>
      </c>
      <c r="F39" s="207"/>
      <c r="G39" s="1175" t="s">
        <v>51</v>
      </c>
      <c r="H39" s="1175" t="s">
        <v>1228</v>
      </c>
      <c r="I39" s="637" t="s">
        <v>105</v>
      </c>
      <c r="J39" s="111">
        <f>153*Belarus</f>
        <v>153</v>
      </c>
      <c r="K39" s="111">
        <f>$J39</f>
        <v>153</v>
      </c>
      <c r="L39" s="111">
        <f>$J39</f>
        <v>153</v>
      </c>
      <c r="M39" s="111">
        <f>$J39</f>
        <v>153</v>
      </c>
      <c r="N39" s="111">
        <f>41*Belarus</f>
        <v>41</v>
      </c>
    </row>
    <row r="40" spans="1:14" s="67" customFormat="1" ht="15" customHeight="1">
      <c r="A40" s="1193"/>
      <c r="B40" s="356" t="s">
        <v>1229</v>
      </c>
      <c r="C40" s="1173" t="s">
        <v>1230</v>
      </c>
      <c r="D40" s="101" t="s">
        <v>1223</v>
      </c>
      <c r="E40" s="101" t="s">
        <v>1700</v>
      </c>
      <c r="F40" s="101" t="s">
        <v>1701</v>
      </c>
      <c r="G40" s="1177"/>
      <c r="H40" s="1177"/>
      <c r="I40" s="651"/>
      <c r="J40" s="111">
        <f>122*Belarus</f>
        <v>122</v>
      </c>
      <c r="K40" s="111">
        <f t="shared" ref="K40:N45" si="5">$J40</f>
        <v>122</v>
      </c>
      <c r="L40" s="111">
        <f t="shared" si="5"/>
        <v>122</v>
      </c>
      <c r="M40" s="111">
        <f t="shared" si="5"/>
        <v>122</v>
      </c>
      <c r="N40" s="111">
        <f t="shared" si="5"/>
        <v>122</v>
      </c>
    </row>
    <row r="41" spans="1:14" s="67" customFormat="1" ht="15">
      <c r="A41" s="1193"/>
      <c r="B41" s="358" t="s">
        <v>1231</v>
      </c>
      <c r="C41" s="1194"/>
      <c r="D41" s="101" t="s">
        <v>1232</v>
      </c>
      <c r="E41" s="101">
        <v>1</v>
      </c>
      <c r="F41" s="101"/>
      <c r="G41" s="1177"/>
      <c r="H41" s="1177"/>
      <c r="I41" s="651"/>
      <c r="J41" s="111">
        <f>122*Belarus</f>
        <v>122</v>
      </c>
      <c r="K41" s="111">
        <f t="shared" si="5"/>
        <v>122</v>
      </c>
      <c r="L41" s="111">
        <f t="shared" si="5"/>
        <v>122</v>
      </c>
      <c r="M41" s="111">
        <f t="shared" si="5"/>
        <v>122</v>
      </c>
      <c r="N41" s="111">
        <f t="shared" si="5"/>
        <v>122</v>
      </c>
    </row>
    <row r="42" spans="1:14" s="67" customFormat="1" ht="15">
      <c r="A42" s="1193"/>
      <c r="B42" s="298" t="s">
        <v>1842</v>
      </c>
      <c r="C42" s="1194"/>
      <c r="D42" s="101" t="s">
        <v>1232</v>
      </c>
      <c r="E42" s="101">
        <v>1</v>
      </c>
      <c r="F42" s="101"/>
      <c r="G42" s="1177"/>
      <c r="H42" s="1177"/>
      <c r="I42" s="651"/>
      <c r="J42" s="111" t="s">
        <v>51</v>
      </c>
      <c r="K42" s="111">
        <f>122*Belarus</f>
        <v>122</v>
      </c>
      <c r="L42" s="111">
        <f>122*Belarus</f>
        <v>122</v>
      </c>
      <c r="M42" s="111">
        <f>122*Belarus</f>
        <v>122</v>
      </c>
      <c r="N42" s="111" t="str">
        <f t="shared" si="5"/>
        <v>-</v>
      </c>
    </row>
    <row r="43" spans="1:14" s="67" customFormat="1" ht="15">
      <c r="A43" s="1193"/>
      <c r="B43" s="298" t="s">
        <v>1233</v>
      </c>
      <c r="C43" s="1174"/>
      <c r="D43" s="101" t="s">
        <v>1232</v>
      </c>
      <c r="E43" s="101">
        <v>1</v>
      </c>
      <c r="F43" s="101"/>
      <c r="G43" s="1177"/>
      <c r="H43" s="1177"/>
      <c r="I43" s="651"/>
      <c r="J43" s="111">
        <f>122*Belarus</f>
        <v>122</v>
      </c>
      <c r="K43" s="111" t="s">
        <v>51</v>
      </c>
      <c r="L43" s="111">
        <f t="shared" si="5"/>
        <v>122</v>
      </c>
      <c r="M43" s="111">
        <f t="shared" si="5"/>
        <v>122</v>
      </c>
      <c r="N43" s="111">
        <f t="shared" si="5"/>
        <v>122</v>
      </c>
    </row>
    <row r="44" spans="1:14" s="67" customFormat="1" ht="15">
      <c r="A44" s="1186" t="s">
        <v>1234</v>
      </c>
      <c r="B44" s="356" t="s">
        <v>1235</v>
      </c>
      <c r="C44" s="1173" t="s">
        <v>1236</v>
      </c>
      <c r="D44" s="193" t="s">
        <v>1232</v>
      </c>
      <c r="E44" s="193">
        <v>1</v>
      </c>
      <c r="F44" s="193"/>
      <c r="G44" s="617" t="s">
        <v>51</v>
      </c>
      <c r="H44" s="1178">
        <v>1</v>
      </c>
      <c r="I44" s="637" t="s">
        <v>105</v>
      </c>
      <c r="J44" s="111">
        <f>540*Belarus</f>
        <v>540</v>
      </c>
      <c r="K44" s="111">
        <f t="shared" si="5"/>
        <v>540</v>
      </c>
      <c r="L44" s="111">
        <f t="shared" si="5"/>
        <v>540</v>
      </c>
      <c r="M44" s="111">
        <f t="shared" si="5"/>
        <v>540</v>
      </c>
      <c r="N44" s="111">
        <f t="shared" si="5"/>
        <v>540</v>
      </c>
    </row>
    <row r="45" spans="1:14" s="67" customFormat="1" ht="15">
      <c r="A45" s="1187"/>
      <c r="B45" s="356" t="s">
        <v>1237</v>
      </c>
      <c r="C45" s="1174"/>
      <c r="D45" s="101" t="s">
        <v>1223</v>
      </c>
      <c r="E45" s="101" t="s">
        <v>1702</v>
      </c>
      <c r="F45" s="101" t="s">
        <v>1703</v>
      </c>
      <c r="G45" s="618"/>
      <c r="H45" s="1179"/>
      <c r="I45" s="638"/>
      <c r="J45" s="111">
        <f>540*Belarus</f>
        <v>540</v>
      </c>
      <c r="K45" s="111">
        <f t="shared" si="5"/>
        <v>540</v>
      </c>
      <c r="L45" s="111">
        <f t="shared" si="5"/>
        <v>540</v>
      </c>
      <c r="M45" s="111">
        <f t="shared" si="5"/>
        <v>540</v>
      </c>
      <c r="N45" s="111">
        <f t="shared" si="5"/>
        <v>540</v>
      </c>
    </row>
    <row r="46" spans="1:14" s="67" customFormat="1" ht="15">
      <c r="A46" s="1187"/>
      <c r="B46" s="356" t="s">
        <v>1238</v>
      </c>
      <c r="C46" s="195" t="s">
        <v>1239</v>
      </c>
      <c r="D46" s="193" t="s">
        <v>1232</v>
      </c>
      <c r="E46" s="193">
        <v>6</v>
      </c>
      <c r="F46" s="193">
        <v>4</v>
      </c>
      <c r="G46" s="24" t="s">
        <v>51</v>
      </c>
      <c r="H46" s="202">
        <v>1.35</v>
      </c>
      <c r="I46" s="26" t="s">
        <v>105</v>
      </c>
      <c r="J46" s="111" t="s">
        <v>51</v>
      </c>
      <c r="K46" s="111" t="s">
        <v>51</v>
      </c>
      <c r="L46" s="111" t="s">
        <v>51</v>
      </c>
      <c r="M46" s="111">
        <f>340*Belarus</f>
        <v>340</v>
      </c>
      <c r="N46" s="111" t="s">
        <v>51</v>
      </c>
    </row>
    <row r="47" spans="1:14" s="67" customFormat="1" ht="15">
      <c r="A47" s="1188"/>
      <c r="B47" s="357" t="s">
        <v>1745</v>
      </c>
      <c r="C47" s="195" t="s">
        <v>1746</v>
      </c>
      <c r="D47" s="193" t="s">
        <v>1223</v>
      </c>
      <c r="E47" s="193">
        <v>4</v>
      </c>
      <c r="F47" s="193">
        <v>2</v>
      </c>
      <c r="G47" s="24">
        <v>1.1000000000000001</v>
      </c>
      <c r="H47" s="202">
        <v>1.2</v>
      </c>
      <c r="I47" s="26" t="s">
        <v>105</v>
      </c>
      <c r="J47" s="111">
        <f>153*Belarus</f>
        <v>153</v>
      </c>
      <c r="K47" s="111" t="s">
        <v>51</v>
      </c>
      <c r="L47" s="111" t="s">
        <v>51</v>
      </c>
      <c r="M47" s="111" t="s">
        <v>51</v>
      </c>
      <c r="N47" s="111" t="s">
        <v>51</v>
      </c>
    </row>
    <row r="48" spans="1:14" s="189" customFormat="1">
      <c r="A48" s="203" t="s">
        <v>1240</v>
      </c>
      <c r="B48" s="64"/>
      <c r="C48" s="39"/>
      <c r="D48" s="64"/>
      <c r="E48" s="64"/>
      <c r="F48" s="64"/>
      <c r="G48" s="39"/>
      <c r="H48" s="39"/>
      <c r="I48" s="39"/>
      <c r="J48" s="39"/>
      <c r="K48" s="39"/>
      <c r="L48" s="39"/>
      <c r="M48" s="39"/>
      <c r="N48" s="39"/>
    </row>
    <row r="49" spans="1:14" s="189" customFormat="1" ht="15" customHeight="1">
      <c r="A49" s="512" t="s">
        <v>1241</v>
      </c>
      <c r="B49" s="512"/>
      <c r="C49" s="512"/>
      <c r="D49" s="209"/>
      <c r="E49" s="209"/>
      <c r="F49" s="209"/>
      <c r="G49" s="209"/>
      <c r="H49" s="209"/>
      <c r="I49" s="26" t="s">
        <v>104</v>
      </c>
      <c r="J49" s="1195">
        <f>20*Belarus</f>
        <v>20</v>
      </c>
      <c r="K49" s="1196"/>
      <c r="L49" s="1196"/>
      <c r="M49" s="1196"/>
      <c r="N49" s="1197"/>
    </row>
    <row r="50" spans="1:14" s="189" customFormat="1">
      <c r="A50" s="203" t="s">
        <v>1242</v>
      </c>
      <c r="B50" s="64"/>
      <c r="C50" s="39"/>
      <c r="D50" s="64"/>
      <c r="E50" s="64"/>
      <c r="F50" s="64"/>
      <c r="G50" s="39"/>
      <c r="H50" s="39"/>
      <c r="I50" s="39"/>
      <c r="J50" s="39"/>
      <c r="K50" s="39"/>
      <c r="L50" s="39"/>
      <c r="M50" s="39"/>
      <c r="N50" s="39"/>
    </row>
    <row r="51" spans="1:14" s="189" customFormat="1" ht="18" customHeight="1">
      <c r="A51" s="494" t="s">
        <v>1244</v>
      </c>
      <c r="B51" s="495"/>
      <c r="C51" s="495"/>
      <c r="D51" s="209"/>
      <c r="E51" s="209"/>
      <c r="F51" s="209"/>
      <c r="G51" s="209"/>
      <c r="H51" s="209"/>
      <c r="I51" s="26" t="s">
        <v>104</v>
      </c>
      <c r="J51" s="1195">
        <f>15*Belarus</f>
        <v>15</v>
      </c>
      <c r="K51" s="1196"/>
      <c r="L51" s="1196"/>
      <c r="M51" s="1196"/>
      <c r="N51" s="1197"/>
    </row>
    <row r="52" spans="1:14" s="189" customFormat="1">
      <c r="A52" s="203" t="s">
        <v>1245</v>
      </c>
      <c r="B52" s="64"/>
      <c r="C52" s="39"/>
      <c r="D52" s="423"/>
      <c r="E52" s="64"/>
      <c r="F52" s="64"/>
      <c r="G52" s="39"/>
      <c r="H52" s="39"/>
      <c r="I52" s="39"/>
      <c r="J52" s="39"/>
      <c r="K52" s="39"/>
      <c r="L52" s="39"/>
      <c r="M52" s="39"/>
      <c r="N52" s="39"/>
    </row>
    <row r="53" spans="1:14" s="189" customFormat="1">
      <c r="A53" s="190" t="s">
        <v>1246</v>
      </c>
      <c r="B53" s="211" t="s">
        <v>1246</v>
      </c>
      <c r="C53" s="212" t="s">
        <v>1210</v>
      </c>
      <c r="D53" s="150" t="s">
        <v>51</v>
      </c>
      <c r="E53" s="667" t="s">
        <v>1247</v>
      </c>
      <c r="F53" s="668"/>
      <c r="G53" s="208">
        <v>3</v>
      </c>
      <c r="H53" s="192">
        <v>1.26</v>
      </c>
      <c r="I53" s="16" t="s">
        <v>51</v>
      </c>
      <c r="J53" s="726" t="s">
        <v>1248</v>
      </c>
      <c r="K53" s="727"/>
      <c r="L53" s="727"/>
      <c r="M53" s="727"/>
      <c r="N53" s="728"/>
    </row>
    <row r="54" spans="1:14" s="189" customFormat="1" ht="25.5">
      <c r="A54" s="190" t="s">
        <v>1249</v>
      </c>
      <c r="B54" s="211" t="s">
        <v>1249</v>
      </c>
      <c r="C54" s="196" t="s">
        <v>1250</v>
      </c>
      <c r="D54" s="69" t="s">
        <v>1251</v>
      </c>
      <c r="E54" s="69" t="s">
        <v>1252</v>
      </c>
      <c r="F54" s="150"/>
      <c r="G54" s="208">
        <v>3</v>
      </c>
      <c r="H54" s="100" t="s">
        <v>51</v>
      </c>
      <c r="I54" s="101" t="s">
        <v>51</v>
      </c>
      <c r="J54" s="732"/>
      <c r="K54" s="733"/>
      <c r="L54" s="733"/>
      <c r="M54" s="733"/>
      <c r="N54" s="734"/>
    </row>
    <row r="55" spans="1:14" s="189" customFormat="1">
      <c r="A55" s="203" t="s">
        <v>1253</v>
      </c>
      <c r="B55" s="64"/>
      <c r="C55" s="39"/>
      <c r="D55" s="423"/>
      <c r="E55" s="64"/>
      <c r="F55" s="64"/>
      <c r="G55" s="39"/>
      <c r="H55" s="39"/>
      <c r="I55" s="39"/>
      <c r="J55" s="39"/>
      <c r="K55" s="39"/>
      <c r="L55" s="39"/>
      <c r="M55" s="39"/>
      <c r="N55" s="39"/>
    </row>
    <row r="56" spans="1:14" s="189" customFormat="1" ht="25.5" customHeight="1">
      <c r="A56" s="1198" t="s">
        <v>1208</v>
      </c>
      <c r="B56" s="211" t="s">
        <v>1254</v>
      </c>
      <c r="C56" s="1200" t="s">
        <v>1255</v>
      </c>
      <c r="D56" s="736" t="s">
        <v>51</v>
      </c>
      <c r="E56" s="150">
        <v>144</v>
      </c>
      <c r="F56" s="150">
        <v>72</v>
      </c>
      <c r="G56" s="213">
        <v>6</v>
      </c>
      <c r="H56" s="214" t="s">
        <v>51</v>
      </c>
      <c r="I56" s="16" t="s">
        <v>51</v>
      </c>
      <c r="J56" s="726" t="s">
        <v>1248</v>
      </c>
      <c r="K56" s="727"/>
      <c r="L56" s="727"/>
      <c r="M56" s="727"/>
      <c r="N56" s="728"/>
    </row>
    <row r="57" spans="1:14" s="189" customFormat="1">
      <c r="A57" s="1199"/>
      <c r="B57" s="211" t="s">
        <v>1504</v>
      </c>
      <c r="C57" s="1201"/>
      <c r="D57" s="737"/>
      <c r="E57" s="150">
        <v>288</v>
      </c>
      <c r="F57" s="150">
        <v>72</v>
      </c>
      <c r="G57" s="213">
        <v>1.25</v>
      </c>
      <c r="H57" s="214" t="s">
        <v>51</v>
      </c>
      <c r="I57" s="16"/>
      <c r="J57" s="729"/>
      <c r="K57" s="730"/>
      <c r="L57" s="730"/>
      <c r="M57" s="730"/>
      <c r="N57" s="731"/>
    </row>
    <row r="58" spans="1:14" s="189" customFormat="1" ht="15">
      <c r="A58" s="191" t="s">
        <v>1243</v>
      </c>
      <c r="B58" s="191" t="s">
        <v>1256</v>
      </c>
      <c r="C58" s="215" t="s">
        <v>1257</v>
      </c>
      <c r="D58" s="216" t="s">
        <v>51</v>
      </c>
      <c r="E58" s="150">
        <v>24</v>
      </c>
      <c r="F58" s="69" t="s">
        <v>1258</v>
      </c>
      <c r="G58" s="217" t="s">
        <v>51</v>
      </c>
      <c r="H58" s="218" t="s">
        <v>51</v>
      </c>
      <c r="I58" s="101" t="s">
        <v>51</v>
      </c>
      <c r="J58" s="732"/>
      <c r="K58" s="733"/>
      <c r="L58" s="733"/>
      <c r="M58" s="733"/>
      <c r="N58" s="734"/>
    </row>
    <row r="59" spans="1:14" s="189" customFormat="1" ht="15" customHeight="1">
      <c r="A59" s="203" t="s">
        <v>1259</v>
      </c>
      <c r="B59" s="64"/>
      <c r="C59" s="39"/>
      <c r="D59" s="423"/>
      <c r="E59" s="64"/>
      <c r="F59" s="64"/>
      <c r="G59" s="39"/>
      <c r="H59" s="39"/>
      <c r="I59" s="39"/>
      <c r="J59" s="39"/>
      <c r="K59" s="39"/>
      <c r="L59" s="39"/>
      <c r="M59" s="39"/>
      <c r="N59" s="39"/>
    </row>
    <row r="60" spans="1:14" s="189" customFormat="1">
      <c r="A60" s="190" t="s">
        <v>1260</v>
      </c>
      <c r="B60" s="211" t="s">
        <v>1261</v>
      </c>
      <c r="C60" s="1173" t="s">
        <v>1262</v>
      </c>
      <c r="D60" s="1202" t="s">
        <v>1263</v>
      </c>
      <c r="E60" s="150">
        <v>1100</v>
      </c>
      <c r="F60" s="69" t="s">
        <v>1264</v>
      </c>
      <c r="G60" s="1204">
        <v>2</v>
      </c>
      <c r="H60" s="199">
        <v>1.2</v>
      </c>
      <c r="I60" s="637" t="s">
        <v>51</v>
      </c>
      <c r="J60" s="726" t="s">
        <v>1248</v>
      </c>
      <c r="K60" s="727"/>
      <c r="L60" s="727"/>
      <c r="M60" s="727"/>
      <c r="N60" s="728"/>
    </row>
    <row r="61" spans="1:14" s="189" customFormat="1">
      <c r="A61" s="190" t="s">
        <v>1265</v>
      </c>
      <c r="B61" s="211" t="s">
        <v>1266</v>
      </c>
      <c r="C61" s="1174"/>
      <c r="D61" s="1203"/>
      <c r="E61" s="69" t="s">
        <v>1267</v>
      </c>
      <c r="F61" s="150">
        <v>50</v>
      </c>
      <c r="G61" s="1205"/>
      <c r="H61" s="193">
        <v>0.55000000000000004</v>
      </c>
      <c r="I61" s="638"/>
      <c r="J61" s="732"/>
      <c r="K61" s="733"/>
      <c r="L61" s="733"/>
      <c r="M61" s="733"/>
      <c r="N61" s="734"/>
    </row>
    <row r="62" spans="1:14" s="189" customFormat="1" ht="15" customHeight="1">
      <c r="A62" s="203" t="s">
        <v>1268</v>
      </c>
      <c r="B62" s="64"/>
      <c r="C62" s="39"/>
      <c r="D62" s="423"/>
      <c r="E62" s="64"/>
      <c r="F62" s="64"/>
      <c r="G62" s="39"/>
      <c r="H62" s="39"/>
      <c r="I62" s="39"/>
      <c r="J62" s="39"/>
      <c r="K62" s="39"/>
      <c r="L62" s="39"/>
      <c r="M62" s="39"/>
      <c r="N62" s="39"/>
    </row>
    <row r="63" spans="1:14" s="189" customFormat="1">
      <c r="A63" s="1173" t="s">
        <v>1269</v>
      </c>
      <c r="B63" s="211" t="s">
        <v>1270</v>
      </c>
      <c r="C63" s="1173" t="s">
        <v>1262</v>
      </c>
      <c r="D63" s="2" t="s">
        <v>51</v>
      </c>
      <c r="E63" s="150">
        <v>500</v>
      </c>
      <c r="F63" s="150">
        <v>50</v>
      </c>
      <c r="G63" s="1204">
        <v>4</v>
      </c>
      <c r="H63" s="193">
        <v>1.06</v>
      </c>
      <c r="I63" s="101" t="s">
        <v>51</v>
      </c>
      <c r="J63" s="726" t="s">
        <v>1248</v>
      </c>
      <c r="K63" s="727"/>
      <c r="L63" s="727"/>
      <c r="M63" s="727"/>
      <c r="N63" s="728"/>
    </row>
    <row r="64" spans="1:14" s="189" customFormat="1" ht="15">
      <c r="A64" s="1174"/>
      <c r="B64" s="191" t="s">
        <v>1271</v>
      </c>
      <c r="C64" s="1174"/>
      <c r="D64" s="183" t="s">
        <v>51</v>
      </c>
      <c r="E64" s="100">
        <v>500</v>
      </c>
      <c r="F64" s="100">
        <v>50</v>
      </c>
      <c r="G64" s="1205"/>
      <c r="H64" s="101">
        <v>0.55000000000000004</v>
      </c>
      <c r="I64" s="101" t="s">
        <v>51</v>
      </c>
      <c r="J64" s="732"/>
      <c r="K64" s="733"/>
      <c r="L64" s="733"/>
      <c r="M64" s="733"/>
      <c r="N64" s="734"/>
    </row>
    <row r="65" spans="1:14">
      <c r="A65" s="83" t="s">
        <v>1272</v>
      </c>
      <c r="B65" s="83"/>
      <c r="C65" s="219"/>
      <c r="D65" s="83"/>
      <c r="E65" s="83"/>
      <c r="F65" s="83"/>
      <c r="G65" s="83"/>
      <c r="H65" s="83"/>
      <c r="I65" s="83"/>
      <c r="J65" s="83"/>
      <c r="K65" s="83"/>
      <c r="L65" s="83"/>
      <c r="M65" s="83"/>
      <c r="N65" s="83"/>
    </row>
    <row r="66" spans="1:14" ht="15" customHeight="1">
      <c r="A66" s="705" t="s">
        <v>1273</v>
      </c>
      <c r="B66" s="209" t="s">
        <v>1274</v>
      </c>
      <c r="C66" s="66" t="s">
        <v>1250</v>
      </c>
      <c r="D66" s="101" t="s">
        <v>1275</v>
      </c>
      <c r="E66" s="101">
        <v>5</v>
      </c>
      <c r="F66" s="101">
        <v>1</v>
      </c>
      <c r="G66" s="100" t="s">
        <v>51</v>
      </c>
      <c r="H66" s="100" t="s">
        <v>51</v>
      </c>
      <c r="I66" s="100" t="s">
        <v>51</v>
      </c>
      <c r="J66" s="587" t="s">
        <v>1248</v>
      </c>
      <c r="K66" s="587"/>
      <c r="L66" s="587"/>
      <c r="M66" s="587"/>
      <c r="N66" s="587"/>
    </row>
    <row r="67" spans="1:14">
      <c r="A67" s="706"/>
      <c r="B67" s="209" t="s">
        <v>1273</v>
      </c>
      <c r="C67" s="66" t="s">
        <v>1250</v>
      </c>
      <c r="D67" s="101" t="s">
        <v>51</v>
      </c>
      <c r="E67" s="101"/>
      <c r="F67" s="101"/>
      <c r="G67" s="100" t="s">
        <v>51</v>
      </c>
      <c r="H67" s="100" t="s">
        <v>51</v>
      </c>
      <c r="I67" s="100" t="s">
        <v>51</v>
      </c>
      <c r="J67" s="587" t="s">
        <v>1248</v>
      </c>
      <c r="K67" s="587"/>
      <c r="L67" s="587"/>
      <c r="M67" s="587"/>
      <c r="N67" s="587"/>
    </row>
    <row r="68" spans="1:14">
      <c r="A68" s="83" t="s">
        <v>1276</v>
      </c>
      <c r="B68" s="83"/>
      <c r="C68" s="219"/>
      <c r="D68" s="83"/>
      <c r="E68" s="83"/>
      <c r="F68" s="83"/>
      <c r="G68" s="83"/>
      <c r="H68" s="83"/>
      <c r="I68" s="83"/>
      <c r="J68" s="83"/>
      <c r="K68" s="83"/>
      <c r="L68" s="83"/>
      <c r="M68" s="83"/>
      <c r="N68" s="83"/>
    </row>
    <row r="69" spans="1:14" s="189" customFormat="1" ht="15">
      <c r="A69" s="190" t="s">
        <v>1277</v>
      </c>
      <c r="B69" s="201" t="s">
        <v>1277</v>
      </c>
      <c r="C69" s="210" t="s">
        <v>1597</v>
      </c>
      <c r="D69" s="69" t="s">
        <v>1278</v>
      </c>
      <c r="E69" s="69">
        <v>4</v>
      </c>
      <c r="F69" s="69"/>
      <c r="G69" s="199">
        <v>2</v>
      </c>
      <c r="H69" s="207" t="s">
        <v>51</v>
      </c>
      <c r="I69" s="101" t="s">
        <v>105</v>
      </c>
      <c r="J69" s="111" t="s">
        <v>51</v>
      </c>
      <c r="K69" s="111">
        <f>135*Belarus</f>
        <v>135</v>
      </c>
      <c r="L69" s="111">
        <f>$K69</f>
        <v>135</v>
      </c>
      <c r="M69" s="111">
        <f>$K69</f>
        <v>135</v>
      </c>
      <c r="N69" s="111">
        <f>$K69</f>
        <v>135</v>
      </c>
    </row>
    <row r="70" spans="1:14">
      <c r="A70" s="719" t="s">
        <v>1279</v>
      </c>
      <c r="B70" s="719"/>
      <c r="C70" s="719"/>
      <c r="D70" s="719"/>
      <c r="E70" s="719"/>
      <c r="F70" s="719"/>
      <c r="G70" s="719"/>
      <c r="H70" s="719"/>
      <c r="I70" s="719"/>
      <c r="J70" s="719"/>
      <c r="K70" s="719"/>
      <c r="L70" s="719"/>
      <c r="M70" s="719"/>
      <c r="N70" s="719"/>
    </row>
    <row r="71" spans="1:14">
      <c r="A71" s="1206" t="s">
        <v>1483</v>
      </c>
      <c r="B71" s="1206"/>
      <c r="C71" s="1206"/>
      <c r="D71" s="1206"/>
      <c r="E71" s="1206"/>
      <c r="F71" s="1206"/>
      <c r="G71" s="1206"/>
      <c r="H71" s="1206"/>
      <c r="I71" s="1206"/>
      <c r="J71" s="1206"/>
      <c r="K71" s="1206"/>
      <c r="L71" s="1206"/>
      <c r="M71" s="1206"/>
      <c r="N71" s="1206"/>
    </row>
    <row r="72" spans="1:14">
      <c r="A72" s="1207" t="s">
        <v>1622</v>
      </c>
      <c r="B72" s="1207"/>
      <c r="C72" s="1207"/>
      <c r="D72" s="1207"/>
      <c r="E72" s="1207"/>
      <c r="F72" s="1207"/>
      <c r="G72" s="1207"/>
      <c r="H72" s="1207"/>
      <c r="I72" s="1207"/>
      <c r="J72" s="1207"/>
      <c r="K72" s="1207"/>
      <c r="L72" s="1207"/>
      <c r="M72" s="1207"/>
      <c r="N72" s="1207"/>
    </row>
    <row r="74" spans="1:14">
      <c r="A74" s="283" t="s">
        <v>1527</v>
      </c>
    </row>
    <row r="78" spans="1:14" ht="25.5">
      <c r="A78" s="84" t="s">
        <v>1623</v>
      </c>
    </row>
  </sheetData>
  <sheetProtection selectLockedCells="1" selectUnlockedCells="1"/>
  <mergeCells count="91">
    <mergeCell ref="A70:N70"/>
    <mergeCell ref="A71:N71"/>
    <mergeCell ref="A72:N72"/>
    <mergeCell ref="A63:A64"/>
    <mergeCell ref="C63:C64"/>
    <mergeCell ref="G63:G64"/>
    <mergeCell ref="J63:N64"/>
    <mergeCell ref="A66:A67"/>
    <mergeCell ref="J66:N66"/>
    <mergeCell ref="J67:N67"/>
    <mergeCell ref="A56:A57"/>
    <mergeCell ref="C56:C57"/>
    <mergeCell ref="D56:D57"/>
    <mergeCell ref="J56:N58"/>
    <mergeCell ref="C60:C61"/>
    <mergeCell ref="D60:D61"/>
    <mergeCell ref="G60:G61"/>
    <mergeCell ref="I60:I61"/>
    <mergeCell ref="J60:N61"/>
    <mergeCell ref="A49:C49"/>
    <mergeCell ref="J49:N49"/>
    <mergeCell ref="A51:C51"/>
    <mergeCell ref="J51:N51"/>
    <mergeCell ref="E53:F53"/>
    <mergeCell ref="J53:N54"/>
    <mergeCell ref="A44:A47"/>
    <mergeCell ref="C44:C45"/>
    <mergeCell ref="G44:G45"/>
    <mergeCell ref="H44:H45"/>
    <mergeCell ref="I44:I45"/>
    <mergeCell ref="J34:J36"/>
    <mergeCell ref="L34:L36"/>
    <mergeCell ref="M34:M36"/>
    <mergeCell ref="N34:N36"/>
    <mergeCell ref="A39:A43"/>
    <mergeCell ref="G39:G43"/>
    <mergeCell ref="H39:H43"/>
    <mergeCell ref="I39:I43"/>
    <mergeCell ref="C40:C43"/>
    <mergeCell ref="A34:A38"/>
    <mergeCell ref="C34:C37"/>
    <mergeCell ref="E34:E35"/>
    <mergeCell ref="G34:G38"/>
    <mergeCell ref="H34:H38"/>
    <mergeCell ref="I34:I38"/>
    <mergeCell ref="A16:A24"/>
    <mergeCell ref="E16:E17"/>
    <mergeCell ref="F16:F17"/>
    <mergeCell ref="C22:C24"/>
    <mergeCell ref="I25:I31"/>
    <mergeCell ref="G28:G29"/>
    <mergeCell ref="D29:D30"/>
    <mergeCell ref="E29:E30"/>
    <mergeCell ref="F29:F30"/>
    <mergeCell ref="H29:H30"/>
    <mergeCell ref="A25:A31"/>
    <mergeCell ref="D25:D26"/>
    <mergeCell ref="E25:E26"/>
    <mergeCell ref="F25:F26"/>
    <mergeCell ref="H25:H28"/>
    <mergeCell ref="I16:I24"/>
    <mergeCell ref="D19:D20"/>
    <mergeCell ref="E19:E20"/>
    <mergeCell ref="F19:F20"/>
    <mergeCell ref="H19:H20"/>
    <mergeCell ref="G22:G24"/>
    <mergeCell ref="H16:H18"/>
    <mergeCell ref="C9:C10"/>
    <mergeCell ref="G9:G10"/>
    <mergeCell ref="H9:H10"/>
    <mergeCell ref="C11:C12"/>
    <mergeCell ref="E11:E12"/>
    <mergeCell ref="F11:F12"/>
    <mergeCell ref="G11:G12"/>
    <mergeCell ref="H11:H12"/>
    <mergeCell ref="C7:C8"/>
    <mergeCell ref="E7:E8"/>
    <mergeCell ref="F7:F8"/>
    <mergeCell ref="G7:G8"/>
    <mergeCell ref="H7:H8"/>
    <mergeCell ref="A1:D1"/>
    <mergeCell ref="A2:J2"/>
    <mergeCell ref="A4:A5"/>
    <mergeCell ref="B4:B5"/>
    <mergeCell ref="C4:C5"/>
    <mergeCell ref="D4:D5"/>
    <mergeCell ref="E4:F4"/>
    <mergeCell ref="G4:G5"/>
    <mergeCell ref="H4:H5"/>
    <mergeCell ref="I4:I5"/>
    <mergeCell ref="J4:N4"/>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7" firstPageNumber="0" orientation="landscape" r:id="rId1"/>
  <headerFooter scaleWithDoc="0">
    <oddHeader>&amp;L&amp;G&amp;R&amp;5Центр поддержки клиентов Grand Line: 8-800-770-77-36
cайт: www.grandline.ru</oddHeader>
  </headerFooter>
  <legacyDrawingHF r:id="rId2"/>
</worksheet>
</file>

<file path=xl/worksheets/sheet13.xml><?xml version="1.0" encoding="utf-8"?>
<worksheet xmlns="http://schemas.openxmlformats.org/spreadsheetml/2006/main" xmlns:r="http://schemas.openxmlformats.org/officeDocument/2006/relationships">
  <sheetPr codeName="Лист60">
    <tabColor rgb="FFFFCC00"/>
  </sheetPr>
  <dimension ref="A1:BV47"/>
  <sheetViews>
    <sheetView zoomScale="75" zoomScaleNormal="75" workbookViewId="0">
      <pane xSplit="2" ySplit="3" topLeftCell="AQ4" activePane="bottomRight" state="frozen"/>
      <selection pane="topRight"/>
      <selection pane="bottomLeft"/>
      <selection pane="bottomRight" activeCell="B2" sqref="B2:B3"/>
    </sheetView>
  </sheetViews>
  <sheetFormatPr defaultRowHeight="15"/>
  <cols>
    <col min="1" max="1" width="2.28515625" style="321" customWidth="1"/>
    <col min="2" max="2" width="32.7109375" style="321" customWidth="1"/>
    <col min="3" max="3" width="19.5703125" style="321" customWidth="1"/>
    <col min="4" max="4" width="8.140625" style="327" customWidth="1"/>
    <col min="5" max="5" width="16.5703125" style="321" customWidth="1"/>
    <col min="6" max="6" width="7.5703125" style="327" customWidth="1"/>
    <col min="7" max="7" width="16.7109375" style="321" customWidth="1"/>
    <col min="8" max="8" width="7.5703125" style="327" customWidth="1"/>
    <col min="9" max="9" width="22.42578125" style="321" customWidth="1"/>
    <col min="10" max="10" width="7.5703125" style="327" customWidth="1"/>
    <col min="11" max="11" width="20.42578125" style="321" customWidth="1"/>
    <col min="12" max="12" width="6.140625" style="321" customWidth="1"/>
    <col min="13" max="13" width="24" style="328" customWidth="1"/>
    <col min="14" max="14" width="7" style="329" customWidth="1"/>
    <col min="15" max="15" width="20.85546875" style="328" customWidth="1"/>
    <col min="16" max="16" width="7" style="329" customWidth="1"/>
    <col min="17" max="17" width="18.28515625" style="321" customWidth="1"/>
    <col min="18" max="18" width="7" style="321" customWidth="1"/>
    <col min="19" max="19" width="18.42578125" style="321" customWidth="1"/>
    <col min="20" max="20" width="7" style="321" customWidth="1"/>
    <col min="21" max="21" width="18.7109375" style="321" customWidth="1"/>
    <col min="22" max="22" width="6.85546875" style="327" customWidth="1"/>
    <col min="23" max="23" width="19.140625" style="327" customWidth="1"/>
    <col min="24" max="24" width="6.85546875" style="327" customWidth="1"/>
    <col min="25" max="25" width="17.5703125" style="321" customWidth="1"/>
    <col min="26" max="26" width="6.85546875" style="327" customWidth="1"/>
    <col min="27" max="27" width="26.28515625" style="321" customWidth="1"/>
    <col min="28" max="28" width="7.7109375" style="330" customWidth="1"/>
    <col min="29" max="29" width="22.5703125" style="321" customWidth="1"/>
    <col min="30" max="30" width="7.7109375" style="330" customWidth="1"/>
    <col min="31" max="31" width="23.85546875" style="330" customWidth="1"/>
    <col min="32" max="32" width="7.7109375" style="330" customWidth="1"/>
    <col min="33" max="33" width="18.28515625" style="321" customWidth="1"/>
    <col min="34" max="34" width="7.28515625" style="327" customWidth="1"/>
    <col min="35" max="35" width="19.140625" style="321" customWidth="1"/>
    <col min="36" max="36" width="7.140625" style="327" customWidth="1"/>
    <col min="37" max="37" width="19.5703125" style="321" customWidth="1"/>
    <col min="38" max="38" width="7" style="327" customWidth="1"/>
    <col min="39" max="39" width="19.28515625" style="321" customWidth="1"/>
    <col min="40" max="40" width="6.7109375" style="327" customWidth="1"/>
    <col min="41" max="41" width="20.42578125" style="321" customWidth="1"/>
    <col min="42" max="42" width="6.7109375" style="327" customWidth="1"/>
    <col min="43" max="43" width="20.42578125" style="321" customWidth="1"/>
    <col min="44" max="44" width="7.140625" style="327" customWidth="1"/>
    <col min="45" max="45" width="18.85546875" style="321" customWidth="1"/>
    <col min="46" max="46" width="7.42578125" style="327" customWidth="1"/>
    <col min="47" max="47" width="24.85546875" style="321" customWidth="1"/>
    <col min="48" max="48" width="7" style="327" customWidth="1"/>
    <col min="49" max="49" width="21.5703125" style="321" customWidth="1"/>
    <col min="50" max="50" width="7" style="327" customWidth="1"/>
    <col min="51" max="51" width="21.42578125" style="321" customWidth="1"/>
    <col min="52" max="52" width="7" style="327" customWidth="1"/>
    <col min="53" max="53" width="21.28515625" style="327" customWidth="1"/>
    <col min="54" max="54" width="7" style="327" customWidth="1"/>
    <col min="55" max="55" width="23.5703125" style="327" customWidth="1"/>
    <col min="56" max="56" width="7" style="327" customWidth="1"/>
    <col min="57" max="57" width="18.85546875" style="321" customWidth="1"/>
    <col min="58" max="58" width="6.85546875" style="327" customWidth="1"/>
    <col min="59" max="59" width="18.42578125" style="321" customWidth="1"/>
    <col min="60" max="60" width="7" style="327" customWidth="1"/>
    <col min="61" max="61" width="17.42578125" style="321" customWidth="1"/>
    <col min="62" max="62" width="7" style="327" customWidth="1"/>
    <col min="63" max="63" width="17.85546875" style="321" customWidth="1"/>
    <col min="64" max="64" width="7.28515625" style="327" customWidth="1"/>
    <col min="65" max="65" width="17.42578125" style="321" customWidth="1"/>
    <col min="66" max="66" width="6.7109375" style="327" customWidth="1"/>
    <col min="67" max="67" width="18.28515625" style="321" customWidth="1"/>
    <col min="68" max="68" width="6.7109375" style="327" customWidth="1"/>
    <col min="69" max="69" width="18" style="321" customWidth="1"/>
    <col min="70" max="70" width="7.28515625" style="327" customWidth="1"/>
    <col min="71" max="71" width="18" style="321" customWidth="1"/>
    <col min="72" max="72" width="6.7109375" style="327" customWidth="1"/>
    <col min="73" max="74" width="9.140625" style="328"/>
    <col min="75" max="16384" width="9.140625" style="321"/>
  </cols>
  <sheetData>
    <row r="1" spans="1:72" ht="15.75" thickBot="1"/>
    <row r="2" spans="1:72" s="331" customFormat="1" ht="15" customHeight="1">
      <c r="B2" s="1218" t="s">
        <v>793</v>
      </c>
      <c r="C2" s="1215" t="s">
        <v>27</v>
      </c>
      <c r="D2" s="1212"/>
      <c r="E2" s="1211" t="s">
        <v>28</v>
      </c>
      <c r="F2" s="1212"/>
      <c r="G2" s="1211" t="s">
        <v>2084</v>
      </c>
      <c r="H2" s="1212"/>
      <c r="I2" s="1211" t="s">
        <v>2085</v>
      </c>
      <c r="J2" s="1212"/>
      <c r="K2" s="1211" t="s">
        <v>1458</v>
      </c>
      <c r="L2" s="1212"/>
      <c r="M2" s="1211" t="s">
        <v>1401</v>
      </c>
      <c r="N2" s="1212"/>
      <c r="O2" s="1211" t="s">
        <v>30</v>
      </c>
      <c r="P2" s="1212"/>
      <c r="Q2" s="1211" t="s">
        <v>31</v>
      </c>
      <c r="R2" s="1212"/>
      <c r="S2" s="1211" t="s">
        <v>32</v>
      </c>
      <c r="T2" s="1212"/>
      <c r="U2" s="1211" t="s">
        <v>33</v>
      </c>
      <c r="V2" s="1212"/>
      <c r="W2" s="1211" t="s">
        <v>1403</v>
      </c>
      <c r="X2" s="1212"/>
      <c r="Y2" s="1211" t="s">
        <v>1402</v>
      </c>
      <c r="Z2" s="1212"/>
      <c r="AA2" s="1211" t="s">
        <v>1710</v>
      </c>
      <c r="AB2" s="1212"/>
      <c r="AC2" s="1211" t="s">
        <v>760</v>
      </c>
      <c r="AD2" s="1212"/>
      <c r="AE2" s="1211" t="s">
        <v>1551</v>
      </c>
      <c r="AF2" s="1212"/>
      <c r="AG2" s="1211" t="s">
        <v>34</v>
      </c>
      <c r="AH2" s="1212"/>
      <c r="AI2" s="1211" t="s">
        <v>35</v>
      </c>
      <c r="AJ2" s="1212"/>
      <c r="AK2" s="1211" t="s">
        <v>36</v>
      </c>
      <c r="AL2" s="1212"/>
      <c r="AM2" s="1211" t="s">
        <v>15</v>
      </c>
      <c r="AN2" s="1215"/>
      <c r="AO2" s="1215"/>
      <c r="AP2" s="1215"/>
      <c r="AQ2" s="1215"/>
      <c r="AR2" s="1215"/>
      <c r="AS2" s="1215"/>
      <c r="AT2" s="1212"/>
      <c r="AU2" s="1209" t="s">
        <v>1444</v>
      </c>
      <c r="AV2" s="1210"/>
      <c r="AW2" s="1215" t="s">
        <v>140</v>
      </c>
      <c r="AX2" s="1215"/>
      <c r="AY2" s="1211" t="s">
        <v>138</v>
      </c>
      <c r="AZ2" s="1212"/>
      <c r="BA2" s="1211" t="s">
        <v>1945</v>
      </c>
      <c r="BB2" s="1212"/>
      <c r="BC2" s="1211" t="s">
        <v>1946</v>
      </c>
      <c r="BD2" s="1212"/>
      <c r="BE2" s="1209" t="s">
        <v>26</v>
      </c>
      <c r="BF2" s="1217"/>
      <c r="BG2" s="1217"/>
      <c r="BH2" s="1217"/>
      <c r="BI2" s="1217"/>
      <c r="BJ2" s="1217"/>
      <c r="BK2" s="1217"/>
      <c r="BL2" s="1217"/>
      <c r="BM2" s="1217"/>
      <c r="BN2" s="1217"/>
      <c r="BO2" s="1217"/>
      <c r="BP2" s="1217"/>
      <c r="BQ2" s="1217"/>
      <c r="BR2" s="1217"/>
      <c r="BS2" s="1217"/>
      <c r="BT2" s="398"/>
    </row>
    <row r="3" spans="1:72" s="327" customFormat="1" ht="27.75" customHeight="1" thickBot="1">
      <c r="B3" s="1219"/>
      <c r="C3" s="1216"/>
      <c r="D3" s="1214"/>
      <c r="E3" s="1213"/>
      <c r="F3" s="1214"/>
      <c r="G3" s="1213"/>
      <c r="H3" s="1214"/>
      <c r="I3" s="1213"/>
      <c r="J3" s="1214"/>
      <c r="K3" s="1213"/>
      <c r="L3" s="1214"/>
      <c r="M3" s="1213"/>
      <c r="N3" s="1214"/>
      <c r="O3" s="1213"/>
      <c r="P3" s="1214"/>
      <c r="Q3" s="1213"/>
      <c r="R3" s="1214"/>
      <c r="S3" s="1213"/>
      <c r="T3" s="1214"/>
      <c r="U3" s="1213"/>
      <c r="V3" s="1214"/>
      <c r="W3" s="1213"/>
      <c r="X3" s="1214"/>
      <c r="Y3" s="1213"/>
      <c r="Z3" s="1214"/>
      <c r="AA3" s="1213"/>
      <c r="AB3" s="1214"/>
      <c r="AC3" s="1213"/>
      <c r="AD3" s="1214"/>
      <c r="AE3" s="1213"/>
      <c r="AF3" s="1214"/>
      <c r="AG3" s="1213"/>
      <c r="AH3" s="1214"/>
      <c r="AI3" s="1213"/>
      <c r="AJ3" s="1214"/>
      <c r="AK3" s="1213"/>
      <c r="AL3" s="1214"/>
      <c r="AM3" s="1208">
        <v>0.8</v>
      </c>
      <c r="AN3" s="1208"/>
      <c r="AO3" s="1208">
        <v>0.7</v>
      </c>
      <c r="AP3" s="1208"/>
      <c r="AQ3" s="1208">
        <v>0.45</v>
      </c>
      <c r="AR3" s="1208"/>
      <c r="AS3" s="1208">
        <v>0.4</v>
      </c>
      <c r="AT3" s="1208"/>
      <c r="AU3" s="1208" t="s">
        <v>1438</v>
      </c>
      <c r="AV3" s="1208"/>
      <c r="AW3" s="1216"/>
      <c r="AX3" s="1216"/>
      <c r="AY3" s="1213"/>
      <c r="AZ3" s="1214"/>
      <c r="BA3" s="1213"/>
      <c r="BB3" s="1214"/>
      <c r="BC3" s="1213"/>
      <c r="BD3" s="1214"/>
      <c r="BE3" s="1208">
        <v>0.35</v>
      </c>
      <c r="BF3" s="1208"/>
      <c r="BG3" s="1208">
        <v>0.4</v>
      </c>
      <c r="BH3" s="1208"/>
      <c r="BI3" s="1208">
        <v>0.45</v>
      </c>
      <c r="BJ3" s="1208"/>
      <c r="BK3" s="1208">
        <v>0.5</v>
      </c>
      <c r="BL3" s="1208"/>
      <c r="BM3" s="1208">
        <v>0.55000000000000004</v>
      </c>
      <c r="BN3" s="1208"/>
      <c r="BO3" s="1208">
        <v>0.7</v>
      </c>
      <c r="BP3" s="1208"/>
      <c r="BQ3" s="1208">
        <v>0.8</v>
      </c>
      <c r="BR3" s="1208"/>
      <c r="BS3" s="1208">
        <v>0.9</v>
      </c>
      <c r="BT3" s="1208"/>
    </row>
    <row r="4" spans="1:72">
      <c r="B4" s="87" t="s">
        <v>50</v>
      </c>
      <c r="C4" s="320" t="s">
        <v>141</v>
      </c>
      <c r="D4" s="317" t="s">
        <v>51</v>
      </c>
      <c r="E4" s="302" t="s">
        <v>142</v>
      </c>
      <c r="F4" s="317">
        <v>695</v>
      </c>
      <c r="G4" s="302" t="s">
        <v>143</v>
      </c>
      <c r="H4" s="317">
        <v>723</v>
      </c>
      <c r="I4" s="302" t="s">
        <v>2086</v>
      </c>
      <c r="J4" s="317">
        <v>657</v>
      </c>
      <c r="K4" s="303"/>
      <c r="L4" s="318" t="s">
        <v>51</v>
      </c>
      <c r="M4" s="302" t="s">
        <v>1336</v>
      </c>
      <c r="N4" s="317">
        <v>812</v>
      </c>
      <c r="O4" s="302" t="s">
        <v>144</v>
      </c>
      <c r="P4" s="317">
        <v>805</v>
      </c>
      <c r="Q4" s="302" t="s">
        <v>145</v>
      </c>
      <c r="R4" s="317">
        <v>714</v>
      </c>
      <c r="S4" s="302" t="s">
        <v>146</v>
      </c>
      <c r="T4" s="317">
        <v>690</v>
      </c>
      <c r="U4" s="302" t="s">
        <v>147</v>
      </c>
      <c r="V4" s="317">
        <v>614</v>
      </c>
      <c r="W4" s="302" t="s">
        <v>1404</v>
      </c>
      <c r="X4" s="317">
        <v>895</v>
      </c>
      <c r="Y4" s="302" t="s">
        <v>148</v>
      </c>
      <c r="Z4" s="317">
        <v>895</v>
      </c>
      <c r="AA4" s="302" t="s">
        <v>1711</v>
      </c>
      <c r="AB4" s="317">
        <v>567</v>
      </c>
      <c r="AC4" s="302" t="s">
        <v>761</v>
      </c>
      <c r="AD4" s="317">
        <v>565</v>
      </c>
      <c r="AE4" s="302" t="s">
        <v>1552</v>
      </c>
      <c r="AF4" s="438">
        <v>543</v>
      </c>
      <c r="AG4" s="302" t="s">
        <v>149</v>
      </c>
      <c r="AH4" s="317">
        <v>422</v>
      </c>
      <c r="AI4" s="302" t="s">
        <v>150</v>
      </c>
      <c r="AJ4" s="317">
        <v>411</v>
      </c>
      <c r="AK4" s="302" t="s">
        <v>151</v>
      </c>
      <c r="AL4" s="317" t="s">
        <v>51</v>
      </c>
      <c r="AM4" s="302" t="s">
        <v>152</v>
      </c>
      <c r="AN4" s="317" t="s">
        <v>51</v>
      </c>
      <c r="AO4" s="320" t="s">
        <v>153</v>
      </c>
      <c r="AP4" s="317" t="s">
        <v>51</v>
      </c>
      <c r="AQ4" s="320" t="s">
        <v>154</v>
      </c>
      <c r="AR4" s="317">
        <v>370</v>
      </c>
      <c r="AS4" s="320" t="s">
        <v>155</v>
      </c>
      <c r="AT4" s="317" t="s">
        <v>51</v>
      </c>
      <c r="AU4" s="320" t="s">
        <v>1368</v>
      </c>
      <c r="AV4" s="317" t="s">
        <v>51</v>
      </c>
      <c r="AW4" s="320" t="s">
        <v>156</v>
      </c>
      <c r="AX4" s="417" t="s">
        <v>51</v>
      </c>
      <c r="AY4" s="320" t="s">
        <v>157</v>
      </c>
      <c r="AZ4" s="417"/>
      <c r="BA4" s="320" t="s">
        <v>1947</v>
      </c>
      <c r="BB4" s="417"/>
      <c r="BC4" s="320" t="s">
        <v>1980</v>
      </c>
      <c r="BD4" s="417"/>
      <c r="BE4" s="302"/>
      <c r="BF4" s="439"/>
      <c r="BG4" s="320"/>
      <c r="BH4" s="439"/>
      <c r="BI4" s="320"/>
      <c r="BJ4" s="439"/>
      <c r="BK4" s="320"/>
      <c r="BL4" s="439"/>
      <c r="BM4" s="320"/>
      <c r="BN4" s="439"/>
      <c r="BO4" s="320"/>
      <c r="BP4" s="439"/>
      <c r="BQ4" s="320"/>
      <c r="BR4" s="439"/>
      <c r="BS4" s="320"/>
      <c r="BT4" s="440"/>
    </row>
    <row r="5" spans="1:72">
      <c r="B5" s="88" t="s">
        <v>794</v>
      </c>
      <c r="C5" s="321" t="s">
        <v>795</v>
      </c>
      <c r="D5" s="318" t="s">
        <v>51</v>
      </c>
      <c r="E5" s="303" t="s">
        <v>796</v>
      </c>
      <c r="F5" s="318">
        <v>695</v>
      </c>
      <c r="G5" s="303" t="s">
        <v>797</v>
      </c>
      <c r="H5" s="318">
        <v>723</v>
      </c>
      <c r="I5" s="303" t="s">
        <v>2087</v>
      </c>
      <c r="J5" s="318">
        <v>657</v>
      </c>
      <c r="K5" s="303"/>
      <c r="L5" s="318" t="s">
        <v>51</v>
      </c>
      <c r="M5" s="303" t="s">
        <v>1337</v>
      </c>
      <c r="N5" s="318">
        <v>812</v>
      </c>
      <c r="O5" s="303" t="s">
        <v>798</v>
      </c>
      <c r="P5" s="318">
        <v>805</v>
      </c>
      <c r="Q5" s="303" t="s">
        <v>799</v>
      </c>
      <c r="R5" s="318">
        <v>714</v>
      </c>
      <c r="S5" s="303" t="s">
        <v>800</v>
      </c>
      <c r="T5" s="318">
        <v>690</v>
      </c>
      <c r="U5" s="303" t="s">
        <v>801</v>
      </c>
      <c r="V5" s="318">
        <v>614</v>
      </c>
      <c r="W5" s="303" t="s">
        <v>1405</v>
      </c>
      <c r="X5" s="318">
        <v>895</v>
      </c>
      <c r="Y5" s="303" t="s">
        <v>802</v>
      </c>
      <c r="Z5" s="318">
        <v>895</v>
      </c>
      <c r="AA5" s="303" t="s">
        <v>1712</v>
      </c>
      <c r="AB5" s="318">
        <v>567</v>
      </c>
      <c r="AC5" s="303" t="s">
        <v>803</v>
      </c>
      <c r="AD5" s="318">
        <v>565</v>
      </c>
      <c r="AE5" s="303" t="s">
        <v>1553</v>
      </c>
      <c r="AF5" s="441">
        <v>543</v>
      </c>
      <c r="AG5" s="303" t="s">
        <v>804</v>
      </c>
      <c r="AH5" s="318">
        <v>422</v>
      </c>
      <c r="AI5" s="303" t="s">
        <v>805</v>
      </c>
      <c r="AJ5" s="318">
        <v>411</v>
      </c>
      <c r="AK5" s="303" t="s">
        <v>51</v>
      </c>
      <c r="AL5" s="318" t="s">
        <v>51</v>
      </c>
      <c r="AM5" s="303" t="s">
        <v>51</v>
      </c>
      <c r="AN5" s="318"/>
      <c r="AO5" s="321" t="s">
        <v>51</v>
      </c>
      <c r="AP5" s="318"/>
      <c r="AQ5" s="321" t="s">
        <v>806</v>
      </c>
      <c r="AR5" s="318">
        <v>370</v>
      </c>
      <c r="AS5" s="321" t="s">
        <v>51</v>
      </c>
      <c r="AT5" s="318" t="s">
        <v>51</v>
      </c>
      <c r="AU5" s="321" t="s">
        <v>1369</v>
      </c>
      <c r="AV5" s="318" t="s">
        <v>51</v>
      </c>
      <c r="AW5" s="321" t="s">
        <v>51</v>
      </c>
      <c r="AX5" s="415" t="s">
        <v>51</v>
      </c>
      <c r="AY5" s="321" t="s">
        <v>51</v>
      </c>
      <c r="AZ5" s="415"/>
      <c r="BA5" s="321" t="s">
        <v>51</v>
      </c>
      <c r="BB5" s="415"/>
      <c r="BC5" s="321" t="s">
        <v>51</v>
      </c>
      <c r="BD5" s="415"/>
      <c r="BE5" s="303"/>
      <c r="BT5" s="442"/>
    </row>
    <row r="6" spans="1:72">
      <c r="B6" s="88" t="s">
        <v>52</v>
      </c>
      <c r="C6" s="321" t="s">
        <v>158</v>
      </c>
      <c r="D6" s="318" t="s">
        <v>51</v>
      </c>
      <c r="E6" s="303" t="s">
        <v>159</v>
      </c>
      <c r="F6" s="318">
        <v>687</v>
      </c>
      <c r="G6" s="303" t="s">
        <v>160</v>
      </c>
      <c r="H6" s="318">
        <v>714</v>
      </c>
      <c r="I6" s="303" t="s">
        <v>2088</v>
      </c>
      <c r="J6" s="318">
        <v>650</v>
      </c>
      <c r="K6" s="303"/>
      <c r="L6" s="318" t="s">
        <v>51</v>
      </c>
      <c r="M6" s="303" t="s">
        <v>1338</v>
      </c>
      <c r="N6" s="318">
        <v>796</v>
      </c>
      <c r="O6" s="303" t="s">
        <v>161</v>
      </c>
      <c r="P6" s="318">
        <v>788</v>
      </c>
      <c r="Q6" s="303" t="s">
        <v>162</v>
      </c>
      <c r="R6" s="318">
        <v>702</v>
      </c>
      <c r="S6" s="303" t="s">
        <v>163</v>
      </c>
      <c r="T6" s="318">
        <v>678</v>
      </c>
      <c r="U6" s="303" t="s">
        <v>164</v>
      </c>
      <c r="V6" s="318">
        <v>605</v>
      </c>
      <c r="W6" s="303" t="s">
        <v>1406</v>
      </c>
      <c r="X6" s="318">
        <v>876</v>
      </c>
      <c r="Y6" s="303" t="s">
        <v>165</v>
      </c>
      <c r="Z6" s="318">
        <v>876</v>
      </c>
      <c r="AA6" s="303" t="s">
        <v>1713</v>
      </c>
      <c r="AB6" s="318">
        <v>560</v>
      </c>
      <c r="AC6" s="303" t="s">
        <v>762</v>
      </c>
      <c r="AD6" s="318">
        <v>558</v>
      </c>
      <c r="AE6" s="303" t="s">
        <v>1554</v>
      </c>
      <c r="AF6" s="441">
        <v>537</v>
      </c>
      <c r="AG6" s="303" t="s">
        <v>166</v>
      </c>
      <c r="AH6" s="318">
        <v>415</v>
      </c>
      <c r="AI6" s="303" t="s">
        <v>167</v>
      </c>
      <c r="AJ6" s="318">
        <v>405</v>
      </c>
      <c r="AK6" s="303" t="s">
        <v>168</v>
      </c>
      <c r="AL6" s="318" t="s">
        <v>51</v>
      </c>
      <c r="AM6" s="303" t="s">
        <v>169</v>
      </c>
      <c r="AN6" s="318" t="s">
        <v>51</v>
      </c>
      <c r="AO6" s="321" t="s">
        <v>170</v>
      </c>
      <c r="AP6" s="318" t="s">
        <v>51</v>
      </c>
      <c r="AQ6" s="321" t="s">
        <v>171</v>
      </c>
      <c r="AR6" s="318">
        <v>366</v>
      </c>
      <c r="AS6" s="321" t="s">
        <v>172</v>
      </c>
      <c r="AT6" s="318" t="s">
        <v>51</v>
      </c>
      <c r="AU6" s="321" t="s">
        <v>1370</v>
      </c>
      <c r="AV6" s="318" t="s">
        <v>51</v>
      </c>
      <c r="AW6" s="321" t="s">
        <v>173</v>
      </c>
      <c r="AX6" s="415" t="s">
        <v>51</v>
      </c>
      <c r="AY6" s="321" t="s">
        <v>174</v>
      </c>
      <c r="AZ6" s="415"/>
      <c r="BA6" s="321" t="s">
        <v>1948</v>
      </c>
      <c r="BB6" s="415"/>
      <c r="BC6" s="321" t="s">
        <v>1981</v>
      </c>
      <c r="BD6" s="415"/>
      <c r="BE6" s="303"/>
      <c r="BT6" s="442"/>
    </row>
    <row r="7" spans="1:72">
      <c r="B7" s="88" t="s">
        <v>53</v>
      </c>
      <c r="C7" s="321" t="s">
        <v>175</v>
      </c>
      <c r="D7" s="318" t="s">
        <v>51</v>
      </c>
      <c r="E7" s="303" t="s">
        <v>176</v>
      </c>
      <c r="F7" s="318">
        <v>687</v>
      </c>
      <c r="G7" s="303" t="s">
        <v>177</v>
      </c>
      <c r="H7" s="318">
        <v>714</v>
      </c>
      <c r="I7" s="303" t="s">
        <v>2089</v>
      </c>
      <c r="J7" s="318">
        <v>650</v>
      </c>
      <c r="K7" s="303"/>
      <c r="L7" s="318" t="s">
        <v>51</v>
      </c>
      <c r="M7" s="303" t="s">
        <v>1339</v>
      </c>
      <c r="N7" s="318">
        <v>796</v>
      </c>
      <c r="O7" s="303" t="s">
        <v>178</v>
      </c>
      <c r="P7" s="318">
        <v>788</v>
      </c>
      <c r="Q7" s="303" t="s">
        <v>179</v>
      </c>
      <c r="R7" s="318">
        <v>702</v>
      </c>
      <c r="S7" s="303" t="s">
        <v>180</v>
      </c>
      <c r="T7" s="318">
        <v>678</v>
      </c>
      <c r="U7" s="303" t="s">
        <v>181</v>
      </c>
      <c r="V7" s="318">
        <v>605</v>
      </c>
      <c r="W7" s="303" t="s">
        <v>1407</v>
      </c>
      <c r="X7" s="318">
        <v>876</v>
      </c>
      <c r="Y7" s="303" t="s">
        <v>182</v>
      </c>
      <c r="Z7" s="318">
        <v>876</v>
      </c>
      <c r="AA7" s="303" t="s">
        <v>1714</v>
      </c>
      <c r="AB7" s="318">
        <v>560</v>
      </c>
      <c r="AC7" s="303" t="s">
        <v>763</v>
      </c>
      <c r="AD7" s="318">
        <v>558</v>
      </c>
      <c r="AE7" s="303" t="s">
        <v>1555</v>
      </c>
      <c r="AF7" s="441">
        <v>537</v>
      </c>
      <c r="AG7" s="303" t="s">
        <v>183</v>
      </c>
      <c r="AH7" s="318">
        <v>415</v>
      </c>
      <c r="AI7" s="303" t="s">
        <v>184</v>
      </c>
      <c r="AJ7" s="318">
        <v>405</v>
      </c>
      <c r="AK7" s="303" t="s">
        <v>185</v>
      </c>
      <c r="AL7" s="318" t="s">
        <v>51</v>
      </c>
      <c r="AM7" s="303" t="s">
        <v>186</v>
      </c>
      <c r="AN7" s="318" t="s">
        <v>51</v>
      </c>
      <c r="AO7" s="321" t="s">
        <v>187</v>
      </c>
      <c r="AP7" s="318" t="s">
        <v>51</v>
      </c>
      <c r="AQ7" s="321" t="s">
        <v>188</v>
      </c>
      <c r="AR7" s="318">
        <v>366</v>
      </c>
      <c r="AS7" s="321" t="s">
        <v>189</v>
      </c>
      <c r="AT7" s="318" t="s">
        <v>51</v>
      </c>
      <c r="AU7" s="321" t="s">
        <v>1371</v>
      </c>
      <c r="AV7" s="318" t="s">
        <v>51</v>
      </c>
      <c r="AW7" s="321" t="s">
        <v>190</v>
      </c>
      <c r="AX7" s="415" t="s">
        <v>51</v>
      </c>
      <c r="AY7" s="321" t="s">
        <v>191</v>
      </c>
      <c r="AZ7" s="415"/>
      <c r="BA7" s="321" t="s">
        <v>1949</v>
      </c>
      <c r="BB7" s="415"/>
      <c r="BC7" s="321" t="s">
        <v>1982</v>
      </c>
      <c r="BD7" s="415"/>
      <c r="BE7" s="303"/>
      <c r="BT7" s="442"/>
    </row>
    <row r="8" spans="1:72">
      <c r="B8" s="88" t="s">
        <v>54</v>
      </c>
      <c r="C8" s="321" t="s">
        <v>192</v>
      </c>
      <c r="D8" s="318" t="s">
        <v>51</v>
      </c>
      <c r="E8" s="303" t="s">
        <v>193</v>
      </c>
      <c r="F8" s="318">
        <v>672</v>
      </c>
      <c r="G8" s="303" t="s">
        <v>194</v>
      </c>
      <c r="H8" s="318">
        <v>699</v>
      </c>
      <c r="I8" s="303" t="s">
        <v>2090</v>
      </c>
      <c r="J8" s="318">
        <v>635</v>
      </c>
      <c r="K8" s="303" t="s">
        <v>1459</v>
      </c>
      <c r="L8" s="318">
        <v>548</v>
      </c>
      <c r="M8" s="303" t="s">
        <v>1340</v>
      </c>
      <c r="N8" s="318">
        <v>781</v>
      </c>
      <c r="O8" s="303" t="s">
        <v>195</v>
      </c>
      <c r="P8" s="318">
        <v>773</v>
      </c>
      <c r="Q8" s="303" t="s">
        <v>196</v>
      </c>
      <c r="R8" s="318">
        <v>687</v>
      </c>
      <c r="S8" s="303" t="s">
        <v>197</v>
      </c>
      <c r="T8" s="318">
        <v>663</v>
      </c>
      <c r="U8" s="303" t="s">
        <v>198</v>
      </c>
      <c r="V8" s="318">
        <v>590</v>
      </c>
      <c r="W8" s="303" t="s">
        <v>1408</v>
      </c>
      <c r="X8" s="318">
        <v>861</v>
      </c>
      <c r="Y8" s="303" t="s">
        <v>199</v>
      </c>
      <c r="Z8" s="318">
        <v>861</v>
      </c>
      <c r="AA8" s="303" t="s">
        <v>1715</v>
      </c>
      <c r="AB8" s="318">
        <v>545</v>
      </c>
      <c r="AC8" s="303" t="s">
        <v>764</v>
      </c>
      <c r="AD8" s="318">
        <v>543</v>
      </c>
      <c r="AE8" s="303" t="s">
        <v>1556</v>
      </c>
      <c r="AF8" s="441">
        <v>522</v>
      </c>
      <c r="AG8" s="303" t="s">
        <v>200</v>
      </c>
      <c r="AH8" s="318">
        <v>400</v>
      </c>
      <c r="AI8" s="303" t="s">
        <v>201</v>
      </c>
      <c r="AJ8" s="318">
        <v>390</v>
      </c>
      <c r="AK8" s="303" t="s">
        <v>202</v>
      </c>
      <c r="AL8" s="318" t="s">
        <v>51</v>
      </c>
      <c r="AM8" s="303" t="s">
        <v>203</v>
      </c>
      <c r="AN8" s="318" t="s">
        <v>51</v>
      </c>
      <c r="AO8" s="321" t="s">
        <v>204</v>
      </c>
      <c r="AP8" s="318" t="s">
        <v>51</v>
      </c>
      <c r="AQ8" s="321" t="s">
        <v>205</v>
      </c>
      <c r="AR8" s="318">
        <v>351</v>
      </c>
      <c r="AS8" s="321" t="s">
        <v>206</v>
      </c>
      <c r="AT8" s="318">
        <v>273</v>
      </c>
      <c r="AU8" s="321" t="s">
        <v>1372</v>
      </c>
      <c r="AV8" s="318">
        <v>401</v>
      </c>
      <c r="AW8" s="321" t="s">
        <v>207</v>
      </c>
      <c r="AX8" s="415" t="s">
        <v>51</v>
      </c>
      <c r="AY8" s="321" t="s">
        <v>208</v>
      </c>
      <c r="AZ8" s="415"/>
      <c r="BA8" s="321" t="s">
        <v>1950</v>
      </c>
      <c r="BB8" s="415"/>
      <c r="BC8" s="321" t="s">
        <v>1983</v>
      </c>
      <c r="BD8" s="415"/>
      <c r="BE8" s="303"/>
      <c r="BT8" s="442"/>
    </row>
    <row r="9" spans="1:72">
      <c r="B9" s="89" t="s">
        <v>55</v>
      </c>
      <c r="C9" s="321" t="s">
        <v>209</v>
      </c>
      <c r="D9" s="318" t="s">
        <v>51</v>
      </c>
      <c r="E9" s="303" t="s">
        <v>210</v>
      </c>
      <c r="F9" s="318" t="s">
        <v>51</v>
      </c>
      <c r="G9" s="303" t="s">
        <v>211</v>
      </c>
      <c r="H9" s="318" t="s">
        <v>51</v>
      </c>
      <c r="I9" s="303" t="s">
        <v>2091</v>
      </c>
      <c r="J9" s="318" t="s">
        <v>51</v>
      </c>
      <c r="K9" s="303"/>
      <c r="L9" s="318" t="s">
        <v>51</v>
      </c>
      <c r="M9" s="303" t="s">
        <v>1341</v>
      </c>
      <c r="N9" s="318" t="s">
        <v>51</v>
      </c>
      <c r="O9" s="303" t="s">
        <v>212</v>
      </c>
      <c r="P9" s="318" t="s">
        <v>51</v>
      </c>
      <c r="Q9" s="303" t="s">
        <v>213</v>
      </c>
      <c r="R9" s="318" t="s">
        <v>51</v>
      </c>
      <c r="S9" s="303" t="s">
        <v>214</v>
      </c>
      <c r="T9" s="318" t="s">
        <v>51</v>
      </c>
      <c r="U9" s="303" t="s">
        <v>215</v>
      </c>
      <c r="V9" s="318" t="s">
        <v>51</v>
      </c>
      <c r="W9" s="303" t="s">
        <v>1409</v>
      </c>
      <c r="X9" s="318" t="s">
        <v>51</v>
      </c>
      <c r="Y9" s="303" t="s">
        <v>216</v>
      </c>
      <c r="Z9" s="318" t="s">
        <v>51</v>
      </c>
      <c r="AA9" s="303" t="s">
        <v>1716</v>
      </c>
      <c r="AB9" s="318" t="s">
        <v>51</v>
      </c>
      <c r="AC9" s="303" t="s">
        <v>765</v>
      </c>
      <c r="AD9" s="318">
        <v>543</v>
      </c>
      <c r="AE9" s="303" t="s">
        <v>1557</v>
      </c>
      <c r="AF9" s="441" t="s">
        <v>51</v>
      </c>
      <c r="AG9" s="303" t="s">
        <v>217</v>
      </c>
      <c r="AH9" s="318">
        <v>400</v>
      </c>
      <c r="AI9" s="303" t="s">
        <v>218</v>
      </c>
      <c r="AJ9" s="318" t="s">
        <v>51</v>
      </c>
      <c r="AK9" s="303" t="s">
        <v>219</v>
      </c>
      <c r="AL9" s="318" t="s">
        <v>51</v>
      </c>
      <c r="AM9" s="303" t="s">
        <v>220</v>
      </c>
      <c r="AN9" s="318" t="s">
        <v>51</v>
      </c>
      <c r="AO9" s="321" t="s">
        <v>221</v>
      </c>
      <c r="AP9" s="318" t="s">
        <v>51</v>
      </c>
      <c r="AQ9" s="321" t="s">
        <v>222</v>
      </c>
      <c r="AR9" s="318">
        <v>351</v>
      </c>
      <c r="AS9" s="321" t="s">
        <v>223</v>
      </c>
      <c r="AT9" s="318">
        <v>273</v>
      </c>
      <c r="AU9" s="321" t="s">
        <v>1373</v>
      </c>
      <c r="AV9" s="318">
        <v>401</v>
      </c>
      <c r="AW9" s="321" t="s">
        <v>224</v>
      </c>
      <c r="AX9" s="415" t="s">
        <v>51</v>
      </c>
      <c r="AY9" s="321" t="s">
        <v>225</v>
      </c>
      <c r="AZ9" s="415"/>
      <c r="BA9" s="321" t="s">
        <v>1951</v>
      </c>
      <c r="BB9" s="415"/>
      <c r="BC9" s="321" t="s">
        <v>1984</v>
      </c>
      <c r="BD9" s="415"/>
      <c r="BE9" s="303"/>
      <c r="BT9" s="442"/>
    </row>
    <row r="10" spans="1:72" ht="15.75" thickBot="1">
      <c r="B10" s="402" t="s">
        <v>1843</v>
      </c>
      <c r="C10" s="321" t="s">
        <v>1894</v>
      </c>
      <c r="D10" s="318" t="s">
        <v>51</v>
      </c>
      <c r="E10" s="303" t="s">
        <v>1895</v>
      </c>
      <c r="F10" s="318">
        <v>687</v>
      </c>
      <c r="G10" s="303" t="s">
        <v>1896</v>
      </c>
      <c r="H10" s="318">
        <v>714</v>
      </c>
      <c r="I10" s="303" t="s">
        <v>2092</v>
      </c>
      <c r="J10" s="318">
        <v>650</v>
      </c>
      <c r="K10" s="303"/>
      <c r="L10" s="318" t="s">
        <v>51</v>
      </c>
      <c r="M10" s="303" t="s">
        <v>1897</v>
      </c>
      <c r="N10" s="318">
        <v>796</v>
      </c>
      <c r="O10" s="303" t="s">
        <v>1898</v>
      </c>
      <c r="P10" s="318">
        <v>788</v>
      </c>
      <c r="Q10" s="303" t="s">
        <v>1899</v>
      </c>
      <c r="R10" s="318">
        <v>702</v>
      </c>
      <c r="S10" s="303" t="s">
        <v>1900</v>
      </c>
      <c r="T10" s="318">
        <v>678</v>
      </c>
      <c r="U10" s="303" t="s">
        <v>1901</v>
      </c>
      <c r="V10" s="318">
        <v>605</v>
      </c>
      <c r="W10" s="303" t="s">
        <v>1902</v>
      </c>
      <c r="X10" s="318">
        <v>876</v>
      </c>
      <c r="Y10" s="303" t="s">
        <v>1903</v>
      </c>
      <c r="Z10" s="318">
        <v>876</v>
      </c>
      <c r="AA10" s="303" t="s">
        <v>1904</v>
      </c>
      <c r="AB10" s="318">
        <v>560</v>
      </c>
      <c r="AC10" s="303" t="s">
        <v>1905</v>
      </c>
      <c r="AD10" s="318">
        <v>558</v>
      </c>
      <c r="AE10" s="303" t="s">
        <v>1906</v>
      </c>
      <c r="AF10" s="441">
        <v>537</v>
      </c>
      <c r="AG10" s="303" t="s">
        <v>1907</v>
      </c>
      <c r="AH10" s="318">
        <v>415</v>
      </c>
      <c r="AI10" s="303" t="s">
        <v>1908</v>
      </c>
      <c r="AJ10" s="318">
        <v>405</v>
      </c>
      <c r="AK10" s="303" t="s">
        <v>1909</v>
      </c>
      <c r="AL10" s="318" t="s">
        <v>51</v>
      </c>
      <c r="AM10" s="303" t="s">
        <v>1910</v>
      </c>
      <c r="AN10" s="318"/>
      <c r="AO10" s="321" t="s">
        <v>1911</v>
      </c>
      <c r="AP10" s="318"/>
      <c r="AQ10" s="321" t="s">
        <v>1912</v>
      </c>
      <c r="AR10" s="318">
        <v>366</v>
      </c>
      <c r="AS10" s="321" t="s">
        <v>1913</v>
      </c>
      <c r="AT10" s="318">
        <v>288</v>
      </c>
      <c r="AU10" s="321" t="s">
        <v>1914</v>
      </c>
      <c r="AV10" s="318">
        <v>416</v>
      </c>
      <c r="AW10" s="321" t="s">
        <v>1915</v>
      </c>
      <c r="AX10" s="415" t="s">
        <v>51</v>
      </c>
      <c r="AY10" s="321" t="s">
        <v>1916</v>
      </c>
      <c r="AZ10" s="415"/>
      <c r="BA10" s="321" t="s">
        <v>1952</v>
      </c>
      <c r="BB10" s="415"/>
      <c r="BC10" s="321" t="s">
        <v>1985</v>
      </c>
      <c r="BD10" s="415"/>
      <c r="BE10" s="306"/>
      <c r="BF10" s="331"/>
      <c r="BG10" s="307"/>
      <c r="BH10" s="331"/>
      <c r="BI10" s="307"/>
      <c r="BJ10" s="331"/>
      <c r="BK10" s="307"/>
      <c r="BL10" s="331"/>
      <c r="BM10" s="307"/>
      <c r="BN10" s="331"/>
      <c r="BO10" s="307"/>
      <c r="BP10" s="331"/>
      <c r="BQ10" s="307"/>
      <c r="BR10" s="331"/>
      <c r="BS10" s="307"/>
      <c r="BT10" s="443"/>
    </row>
    <row r="11" spans="1:72" ht="15.75" thickBot="1">
      <c r="B11" s="90" t="s">
        <v>10</v>
      </c>
      <c r="C11" s="322" t="s">
        <v>226</v>
      </c>
      <c r="D11" s="319" t="s">
        <v>51</v>
      </c>
      <c r="E11" s="304" t="s">
        <v>227</v>
      </c>
      <c r="F11" s="319">
        <v>1135</v>
      </c>
      <c r="G11" s="304" t="s">
        <v>228</v>
      </c>
      <c r="H11" s="319">
        <v>1290</v>
      </c>
      <c r="I11" s="304" t="s">
        <v>2093</v>
      </c>
      <c r="J11" s="319">
        <v>1173</v>
      </c>
      <c r="K11" s="304" t="s">
        <v>1460</v>
      </c>
      <c r="L11" s="319">
        <v>972</v>
      </c>
      <c r="M11" s="304" t="s">
        <v>1342</v>
      </c>
      <c r="N11" s="319">
        <v>1262</v>
      </c>
      <c r="O11" s="304" t="s">
        <v>229</v>
      </c>
      <c r="P11" s="319">
        <v>1247</v>
      </c>
      <c r="Q11" s="304" t="s">
        <v>230</v>
      </c>
      <c r="R11" s="319">
        <v>1164</v>
      </c>
      <c r="S11" s="304" t="s">
        <v>231</v>
      </c>
      <c r="T11" s="319">
        <v>1116</v>
      </c>
      <c r="U11" s="304" t="s">
        <v>232</v>
      </c>
      <c r="V11" s="319">
        <v>1021</v>
      </c>
      <c r="W11" s="304" t="s">
        <v>1410</v>
      </c>
      <c r="X11" s="319">
        <v>1670</v>
      </c>
      <c r="Y11" s="304" t="s">
        <v>233</v>
      </c>
      <c r="Z11" s="319">
        <v>1670</v>
      </c>
      <c r="AA11" s="304" t="s">
        <v>1717</v>
      </c>
      <c r="AB11" s="319">
        <v>1061</v>
      </c>
      <c r="AC11" s="304" t="s">
        <v>766</v>
      </c>
      <c r="AD11" s="319">
        <v>1057</v>
      </c>
      <c r="AE11" s="304" t="s">
        <v>1558</v>
      </c>
      <c r="AF11" s="444">
        <v>1013</v>
      </c>
      <c r="AG11" s="304" t="s">
        <v>234</v>
      </c>
      <c r="AH11" s="319">
        <v>794</v>
      </c>
      <c r="AI11" s="304" t="s">
        <v>235</v>
      </c>
      <c r="AJ11" s="319">
        <v>814</v>
      </c>
      <c r="AK11" s="304" t="s">
        <v>236</v>
      </c>
      <c r="AL11" s="319" t="s">
        <v>51</v>
      </c>
      <c r="AM11" s="322" t="s">
        <v>237</v>
      </c>
      <c r="AN11" s="319" t="s">
        <v>51</v>
      </c>
      <c r="AO11" s="322" t="s">
        <v>238</v>
      </c>
      <c r="AP11" s="319" t="s">
        <v>51</v>
      </c>
      <c r="AQ11" s="322" t="s">
        <v>239</v>
      </c>
      <c r="AR11" s="319">
        <v>671</v>
      </c>
      <c r="AS11" s="322" t="s">
        <v>240</v>
      </c>
      <c r="AT11" s="319" t="s">
        <v>51</v>
      </c>
      <c r="AU11" s="322" t="s">
        <v>1374</v>
      </c>
      <c r="AV11" s="319" t="s">
        <v>51</v>
      </c>
      <c r="AW11" s="322" t="s">
        <v>241</v>
      </c>
      <c r="AX11" s="418" t="s">
        <v>51</v>
      </c>
      <c r="AY11" s="322" t="s">
        <v>242</v>
      </c>
      <c r="AZ11" s="418"/>
      <c r="BA11" s="322" t="s">
        <v>1953</v>
      </c>
      <c r="BB11" s="418"/>
      <c r="BC11" s="322" t="s">
        <v>1986</v>
      </c>
      <c r="BD11" s="418"/>
      <c r="BE11" s="304"/>
      <c r="BF11" s="445"/>
      <c r="BG11" s="322"/>
      <c r="BH11" s="445"/>
      <c r="BI11" s="322"/>
      <c r="BJ11" s="445"/>
      <c r="BK11" s="322"/>
      <c r="BL11" s="445"/>
      <c r="BM11" s="322"/>
      <c r="BN11" s="445"/>
      <c r="BO11" s="322"/>
      <c r="BP11" s="445"/>
      <c r="BQ11" s="322"/>
      <c r="BR11" s="445"/>
      <c r="BS11" s="322"/>
      <c r="BT11" s="446"/>
    </row>
    <row r="12" spans="1:72">
      <c r="B12" s="87" t="s">
        <v>243</v>
      </c>
      <c r="C12" s="323" t="s">
        <v>244</v>
      </c>
      <c r="D12" s="317" t="s">
        <v>51</v>
      </c>
      <c r="E12" s="305" t="s">
        <v>245</v>
      </c>
      <c r="F12" s="317">
        <v>666</v>
      </c>
      <c r="G12" s="305" t="s">
        <v>246</v>
      </c>
      <c r="H12" s="317">
        <v>696</v>
      </c>
      <c r="I12" s="305" t="s">
        <v>2094</v>
      </c>
      <c r="J12" s="317">
        <v>638</v>
      </c>
      <c r="K12" s="305"/>
      <c r="L12" s="317" t="s">
        <v>51</v>
      </c>
      <c r="M12" s="305" t="s">
        <v>1343</v>
      </c>
      <c r="N12" s="317">
        <v>751</v>
      </c>
      <c r="O12" s="305" t="s">
        <v>247</v>
      </c>
      <c r="P12" s="317">
        <v>744</v>
      </c>
      <c r="Q12" s="305" t="s">
        <v>248</v>
      </c>
      <c r="R12" s="317">
        <v>667</v>
      </c>
      <c r="S12" s="305" t="s">
        <v>249</v>
      </c>
      <c r="T12" s="317">
        <v>644</v>
      </c>
      <c r="U12" s="305" t="s">
        <v>250</v>
      </c>
      <c r="V12" s="317">
        <v>593</v>
      </c>
      <c r="W12" s="305" t="s">
        <v>1411</v>
      </c>
      <c r="X12" s="317">
        <v>821</v>
      </c>
      <c r="Y12" s="305" t="s">
        <v>251</v>
      </c>
      <c r="Z12" s="317">
        <v>821</v>
      </c>
      <c r="AA12" s="305" t="s">
        <v>1718</v>
      </c>
      <c r="AB12" s="317">
        <v>540</v>
      </c>
      <c r="AC12" s="305" t="s">
        <v>767</v>
      </c>
      <c r="AD12" s="317">
        <v>537</v>
      </c>
      <c r="AE12" s="305" t="s">
        <v>1559</v>
      </c>
      <c r="AF12" s="438">
        <v>518</v>
      </c>
      <c r="AG12" s="305" t="s">
        <v>252</v>
      </c>
      <c r="AH12" s="317">
        <v>415</v>
      </c>
      <c r="AI12" s="305" t="s">
        <v>253</v>
      </c>
      <c r="AJ12" s="317">
        <v>396</v>
      </c>
      <c r="AK12" s="305" t="s">
        <v>254</v>
      </c>
      <c r="AL12" s="317" t="s">
        <v>51</v>
      </c>
      <c r="AM12" s="323" t="s">
        <v>255</v>
      </c>
      <c r="AN12" s="317" t="s">
        <v>51</v>
      </c>
      <c r="AO12" s="323" t="s">
        <v>256</v>
      </c>
      <c r="AP12" s="317">
        <v>494</v>
      </c>
      <c r="AQ12" s="323" t="s">
        <v>257</v>
      </c>
      <c r="AR12" s="317">
        <v>367</v>
      </c>
      <c r="AS12" s="323" t="s">
        <v>258</v>
      </c>
      <c r="AT12" s="317" t="s">
        <v>51</v>
      </c>
      <c r="AU12" s="323" t="s">
        <v>1375</v>
      </c>
      <c r="AV12" s="317" t="s">
        <v>51</v>
      </c>
      <c r="AW12" s="323" t="s">
        <v>259</v>
      </c>
      <c r="AX12" s="417" t="s">
        <v>51</v>
      </c>
      <c r="AY12" s="323" t="s">
        <v>260</v>
      </c>
      <c r="AZ12" s="417"/>
      <c r="BA12" s="323" t="s">
        <v>1954</v>
      </c>
      <c r="BB12" s="417"/>
      <c r="BC12" s="323" t="s">
        <v>1987</v>
      </c>
      <c r="BD12" s="417"/>
      <c r="BE12" s="305" t="s">
        <v>261</v>
      </c>
      <c r="BF12" s="317"/>
      <c r="BG12" s="323" t="s">
        <v>262</v>
      </c>
      <c r="BH12" s="317"/>
      <c r="BI12" s="323" t="s">
        <v>263</v>
      </c>
      <c r="BJ12" s="317">
        <v>294</v>
      </c>
      <c r="BK12" s="323" t="s">
        <v>264</v>
      </c>
      <c r="BL12" s="317">
        <v>308</v>
      </c>
      <c r="BM12" s="323" t="s">
        <v>265</v>
      </c>
      <c r="BN12" s="317">
        <v>346</v>
      </c>
      <c r="BO12" s="323" t="s">
        <v>266</v>
      </c>
      <c r="BP12" s="317">
        <v>405</v>
      </c>
      <c r="BQ12" s="323" t="s">
        <v>267</v>
      </c>
      <c r="BR12" s="317"/>
      <c r="BS12" s="323" t="s">
        <v>268</v>
      </c>
      <c r="BT12" s="317"/>
    </row>
    <row r="13" spans="1:72">
      <c r="B13" s="88" t="s">
        <v>1624</v>
      </c>
      <c r="C13" s="307" t="s">
        <v>1625</v>
      </c>
      <c r="D13" s="318"/>
      <c r="E13" s="306" t="s">
        <v>1626</v>
      </c>
      <c r="F13" s="318">
        <v>814</v>
      </c>
      <c r="G13" s="306" t="s">
        <v>1627</v>
      </c>
      <c r="H13" s="318">
        <v>851</v>
      </c>
      <c r="I13" s="306" t="s">
        <v>2095</v>
      </c>
      <c r="J13" s="318">
        <v>779</v>
      </c>
      <c r="K13" s="306" t="s">
        <v>1653</v>
      </c>
      <c r="L13" s="318"/>
      <c r="M13" s="306" t="s">
        <v>1628</v>
      </c>
      <c r="N13" s="318">
        <v>918</v>
      </c>
      <c r="O13" s="306" t="s">
        <v>1629</v>
      </c>
      <c r="P13" s="318">
        <v>909</v>
      </c>
      <c r="Q13" s="306" t="s">
        <v>1630</v>
      </c>
      <c r="R13" s="318">
        <v>816</v>
      </c>
      <c r="S13" s="306" t="s">
        <v>1631</v>
      </c>
      <c r="T13" s="318">
        <v>788</v>
      </c>
      <c r="U13" s="306" t="s">
        <v>1632</v>
      </c>
      <c r="V13" s="318">
        <v>724</v>
      </c>
      <c r="W13" s="306" t="s">
        <v>1633</v>
      </c>
      <c r="X13" s="318">
        <v>1003</v>
      </c>
      <c r="Y13" s="306" t="s">
        <v>1634</v>
      </c>
      <c r="Z13" s="318">
        <v>1003</v>
      </c>
      <c r="AA13" s="306" t="s">
        <v>1719</v>
      </c>
      <c r="AB13" s="318">
        <v>659</v>
      </c>
      <c r="AC13" s="306" t="s">
        <v>1635</v>
      </c>
      <c r="AD13" s="318">
        <v>657</v>
      </c>
      <c r="AE13" s="306" t="s">
        <v>1636</v>
      </c>
      <c r="AF13" s="441">
        <v>633</v>
      </c>
      <c r="AG13" s="306" t="s">
        <v>1637</v>
      </c>
      <c r="AH13" s="318">
        <v>507</v>
      </c>
      <c r="AI13" s="306" t="s">
        <v>1638</v>
      </c>
      <c r="AJ13" s="318">
        <v>483</v>
      </c>
      <c r="AK13" s="306" t="s">
        <v>1639</v>
      </c>
      <c r="AL13" s="318" t="s">
        <v>51</v>
      </c>
      <c r="AM13" s="307" t="s">
        <v>1640</v>
      </c>
      <c r="AN13" s="318"/>
      <c r="AO13" s="307" t="s">
        <v>1641</v>
      </c>
      <c r="AP13" s="318"/>
      <c r="AQ13" s="307" t="s">
        <v>1642</v>
      </c>
      <c r="AR13" s="318">
        <v>448</v>
      </c>
      <c r="AS13" s="307" t="s">
        <v>1643</v>
      </c>
      <c r="AT13" s="318"/>
      <c r="AU13" s="307" t="s">
        <v>1644</v>
      </c>
      <c r="AV13" s="318"/>
      <c r="AW13" s="307"/>
      <c r="AX13" s="415"/>
      <c r="AY13" s="307"/>
      <c r="AZ13" s="415"/>
      <c r="BA13" s="307"/>
      <c r="BB13" s="415"/>
      <c r="BC13" s="307"/>
      <c r="BD13" s="415"/>
      <c r="BE13" s="306" t="s">
        <v>1645</v>
      </c>
      <c r="BF13" s="318"/>
      <c r="BG13" s="307" t="s">
        <v>1646</v>
      </c>
      <c r="BH13" s="318"/>
      <c r="BI13" s="307" t="s">
        <v>1647</v>
      </c>
      <c r="BJ13" s="318">
        <v>359</v>
      </c>
      <c r="BK13" s="307" t="s">
        <v>1648</v>
      </c>
      <c r="BL13" s="318">
        <v>377</v>
      </c>
      <c r="BM13" s="307" t="s">
        <v>1649</v>
      </c>
      <c r="BN13" s="318">
        <v>423</v>
      </c>
      <c r="BO13" s="307" t="s">
        <v>1650</v>
      </c>
      <c r="BP13" s="318"/>
      <c r="BQ13" s="307" t="s">
        <v>1651</v>
      </c>
      <c r="BR13" s="318"/>
      <c r="BS13" s="307" t="s">
        <v>1652</v>
      </c>
      <c r="BT13" s="318"/>
    </row>
    <row r="14" spans="1:72">
      <c r="B14" s="88" t="s">
        <v>269</v>
      </c>
      <c r="C14" s="307" t="s">
        <v>270</v>
      </c>
      <c r="D14" s="318" t="s">
        <v>51</v>
      </c>
      <c r="E14" s="306" t="s">
        <v>271</v>
      </c>
      <c r="F14" s="318">
        <v>768</v>
      </c>
      <c r="G14" s="306" t="s">
        <v>272</v>
      </c>
      <c r="H14" s="318">
        <v>803</v>
      </c>
      <c r="I14" s="306" t="s">
        <v>2096</v>
      </c>
      <c r="J14" s="318">
        <v>735</v>
      </c>
      <c r="K14" s="306"/>
      <c r="L14" s="318" t="s">
        <v>51</v>
      </c>
      <c r="M14" s="306" t="s">
        <v>1344</v>
      </c>
      <c r="N14" s="318">
        <v>866</v>
      </c>
      <c r="O14" s="306" t="s">
        <v>273</v>
      </c>
      <c r="P14" s="318">
        <v>858</v>
      </c>
      <c r="Q14" s="306" t="s">
        <v>274</v>
      </c>
      <c r="R14" s="318">
        <v>770</v>
      </c>
      <c r="S14" s="306" t="s">
        <v>275</v>
      </c>
      <c r="T14" s="318">
        <v>743</v>
      </c>
      <c r="U14" s="306" t="s">
        <v>276</v>
      </c>
      <c r="V14" s="318">
        <v>683</v>
      </c>
      <c r="W14" s="306" t="s">
        <v>1412</v>
      </c>
      <c r="X14" s="318" t="s">
        <v>51</v>
      </c>
      <c r="Y14" s="306" t="s">
        <v>277</v>
      </c>
      <c r="Z14" s="318" t="s">
        <v>51</v>
      </c>
      <c r="AA14" s="306" t="s">
        <v>1720</v>
      </c>
      <c r="AB14" s="318">
        <v>622</v>
      </c>
      <c r="AC14" s="306" t="s">
        <v>768</v>
      </c>
      <c r="AD14" s="318">
        <v>620</v>
      </c>
      <c r="AE14" s="306" t="s">
        <v>1560</v>
      </c>
      <c r="AF14" s="441">
        <v>597</v>
      </c>
      <c r="AG14" s="306" t="s">
        <v>278</v>
      </c>
      <c r="AH14" s="318">
        <v>478</v>
      </c>
      <c r="AI14" s="306" t="s">
        <v>279</v>
      </c>
      <c r="AJ14" s="318">
        <v>456</v>
      </c>
      <c r="AK14" s="306" t="s">
        <v>280</v>
      </c>
      <c r="AL14" s="318" t="s">
        <v>51</v>
      </c>
      <c r="AM14" s="307" t="s">
        <v>281</v>
      </c>
      <c r="AN14" s="318" t="s">
        <v>51</v>
      </c>
      <c r="AO14" s="307" t="s">
        <v>282</v>
      </c>
      <c r="AP14" s="318">
        <v>569</v>
      </c>
      <c r="AQ14" s="307" t="s">
        <v>283</v>
      </c>
      <c r="AR14" s="318">
        <v>423</v>
      </c>
      <c r="AS14" s="307" t="s">
        <v>284</v>
      </c>
      <c r="AT14" s="318" t="s">
        <v>51</v>
      </c>
      <c r="AU14" s="307" t="s">
        <v>1376</v>
      </c>
      <c r="AV14" s="318" t="s">
        <v>51</v>
      </c>
      <c r="AW14" s="307" t="s">
        <v>285</v>
      </c>
      <c r="AX14" s="415" t="s">
        <v>51</v>
      </c>
      <c r="AY14" s="307" t="s">
        <v>286</v>
      </c>
      <c r="AZ14" s="415"/>
      <c r="BA14" s="307" t="s">
        <v>1955</v>
      </c>
      <c r="BB14" s="415"/>
      <c r="BC14" s="307" t="s">
        <v>1988</v>
      </c>
      <c r="BD14" s="415"/>
      <c r="BE14" s="306" t="s">
        <v>287</v>
      </c>
      <c r="BF14" s="318"/>
      <c r="BG14" s="307" t="s">
        <v>288</v>
      </c>
      <c r="BH14" s="318"/>
      <c r="BI14" s="307" t="s">
        <v>289</v>
      </c>
      <c r="BJ14" s="318">
        <v>339</v>
      </c>
      <c r="BK14" s="307" t="s">
        <v>290</v>
      </c>
      <c r="BL14" s="318">
        <v>356</v>
      </c>
      <c r="BM14" s="307" t="s">
        <v>291</v>
      </c>
      <c r="BN14" s="318">
        <v>399</v>
      </c>
      <c r="BO14" s="307" t="s">
        <v>292</v>
      </c>
      <c r="BP14" s="318">
        <v>467</v>
      </c>
      <c r="BQ14" s="307" t="s">
        <v>293</v>
      </c>
      <c r="BR14" s="318"/>
      <c r="BS14" s="307" t="s">
        <v>294</v>
      </c>
      <c r="BT14" s="318"/>
    </row>
    <row r="15" spans="1:72" ht="15.75" thickBot="1">
      <c r="B15" s="90" t="s">
        <v>295</v>
      </c>
      <c r="C15" s="322" t="s">
        <v>727</v>
      </c>
      <c r="D15" s="319" t="s">
        <v>51</v>
      </c>
      <c r="E15" s="304" t="s">
        <v>728</v>
      </c>
      <c r="F15" s="319">
        <v>832</v>
      </c>
      <c r="G15" s="304" t="s">
        <v>729</v>
      </c>
      <c r="H15" s="319">
        <v>870</v>
      </c>
      <c r="I15" s="304" t="s">
        <v>2097</v>
      </c>
      <c r="J15" s="319">
        <v>796</v>
      </c>
      <c r="K15" s="304"/>
      <c r="L15" s="319" t="s">
        <v>51</v>
      </c>
      <c r="M15" s="304" t="s">
        <v>1345</v>
      </c>
      <c r="N15" s="319">
        <v>938</v>
      </c>
      <c r="O15" s="304" t="s">
        <v>730</v>
      </c>
      <c r="P15" s="319">
        <v>930</v>
      </c>
      <c r="Q15" s="304" t="s">
        <v>731</v>
      </c>
      <c r="R15" s="319">
        <v>834</v>
      </c>
      <c r="S15" s="304" t="s">
        <v>732</v>
      </c>
      <c r="T15" s="319">
        <v>805</v>
      </c>
      <c r="U15" s="304" t="s">
        <v>733</v>
      </c>
      <c r="V15" s="319">
        <v>740</v>
      </c>
      <c r="W15" s="304" t="s">
        <v>1413</v>
      </c>
      <c r="X15" s="319" t="s">
        <v>51</v>
      </c>
      <c r="Y15" s="304" t="s">
        <v>734</v>
      </c>
      <c r="Z15" s="319" t="s">
        <v>51</v>
      </c>
      <c r="AA15" s="304" t="s">
        <v>1721</v>
      </c>
      <c r="AB15" s="319">
        <v>674</v>
      </c>
      <c r="AC15" s="304" t="s">
        <v>769</v>
      </c>
      <c r="AD15" s="319">
        <v>671</v>
      </c>
      <c r="AE15" s="304" t="s">
        <v>1561</v>
      </c>
      <c r="AF15" s="444">
        <v>647</v>
      </c>
      <c r="AG15" s="304" t="s">
        <v>735</v>
      </c>
      <c r="AH15" s="319">
        <v>518</v>
      </c>
      <c r="AI15" s="304" t="s">
        <v>736</v>
      </c>
      <c r="AJ15" s="319">
        <v>494</v>
      </c>
      <c r="AK15" s="304" t="s">
        <v>737</v>
      </c>
      <c r="AL15" s="319" t="s">
        <v>51</v>
      </c>
      <c r="AM15" s="322" t="s">
        <v>738</v>
      </c>
      <c r="AN15" s="319" t="s">
        <v>51</v>
      </c>
      <c r="AO15" s="322" t="s">
        <v>739</v>
      </c>
      <c r="AP15" s="319">
        <v>617</v>
      </c>
      <c r="AQ15" s="322" t="s">
        <v>740</v>
      </c>
      <c r="AR15" s="319">
        <v>458</v>
      </c>
      <c r="AS15" s="322" t="s">
        <v>741</v>
      </c>
      <c r="AT15" s="319" t="s">
        <v>51</v>
      </c>
      <c r="AU15" s="322" t="s">
        <v>1377</v>
      </c>
      <c r="AV15" s="319" t="s">
        <v>51</v>
      </c>
      <c r="AW15" s="322" t="s">
        <v>742</v>
      </c>
      <c r="AX15" s="418" t="s">
        <v>51</v>
      </c>
      <c r="AY15" s="322" t="s">
        <v>743</v>
      </c>
      <c r="AZ15" s="418"/>
      <c r="BA15" s="322" t="s">
        <v>1956</v>
      </c>
      <c r="BB15" s="418"/>
      <c r="BC15" s="322" t="s">
        <v>1989</v>
      </c>
      <c r="BD15" s="418"/>
      <c r="BE15" s="304" t="s">
        <v>744</v>
      </c>
      <c r="BF15" s="319"/>
      <c r="BG15" s="322" t="s">
        <v>745</v>
      </c>
      <c r="BH15" s="319"/>
      <c r="BI15" s="322" t="s">
        <v>746</v>
      </c>
      <c r="BJ15" s="319" t="s">
        <v>51</v>
      </c>
      <c r="BK15" s="322" t="s">
        <v>747</v>
      </c>
      <c r="BL15" s="319" t="s">
        <v>51</v>
      </c>
      <c r="BM15" s="322" t="s">
        <v>748</v>
      </c>
      <c r="BN15" s="319">
        <v>432</v>
      </c>
      <c r="BO15" s="322" t="s">
        <v>749</v>
      </c>
      <c r="BP15" s="319">
        <v>506</v>
      </c>
      <c r="BQ15" s="322" t="s">
        <v>750</v>
      </c>
      <c r="BR15" s="319"/>
      <c r="BS15" s="322" t="s">
        <v>751</v>
      </c>
      <c r="BT15" s="319"/>
    </row>
    <row r="16" spans="1:72">
      <c r="A16" s="85"/>
      <c r="B16" s="91" t="s">
        <v>2</v>
      </c>
      <c r="C16" s="323" t="s">
        <v>752</v>
      </c>
      <c r="D16" s="317">
        <v>771</v>
      </c>
      <c r="E16" s="305" t="s">
        <v>296</v>
      </c>
      <c r="F16" s="317">
        <v>639</v>
      </c>
      <c r="G16" s="305" t="s">
        <v>297</v>
      </c>
      <c r="H16" s="317">
        <v>670</v>
      </c>
      <c r="I16" s="305" t="s">
        <v>2098</v>
      </c>
      <c r="J16" s="317">
        <v>609</v>
      </c>
      <c r="K16" s="305" t="s">
        <v>1461</v>
      </c>
      <c r="L16" s="317">
        <v>510</v>
      </c>
      <c r="M16" s="305" t="s">
        <v>1346</v>
      </c>
      <c r="N16" s="317">
        <v>727</v>
      </c>
      <c r="O16" s="305" t="s">
        <v>298</v>
      </c>
      <c r="P16" s="317">
        <v>720</v>
      </c>
      <c r="Q16" s="305" t="s">
        <v>299</v>
      </c>
      <c r="R16" s="317">
        <v>640</v>
      </c>
      <c r="S16" s="305" t="s">
        <v>300</v>
      </c>
      <c r="T16" s="317">
        <v>616</v>
      </c>
      <c r="U16" s="305" t="s">
        <v>301</v>
      </c>
      <c r="V16" s="317">
        <v>562</v>
      </c>
      <c r="W16" s="305" t="s">
        <v>1414</v>
      </c>
      <c r="X16" s="317">
        <v>800</v>
      </c>
      <c r="Y16" s="305" t="s">
        <v>302</v>
      </c>
      <c r="Z16" s="317">
        <v>800</v>
      </c>
      <c r="AA16" s="305" t="s">
        <v>1722</v>
      </c>
      <c r="AB16" s="317">
        <v>507</v>
      </c>
      <c r="AC16" s="305" t="s">
        <v>770</v>
      </c>
      <c r="AD16" s="317">
        <v>505</v>
      </c>
      <c r="AE16" s="305" t="s">
        <v>1562</v>
      </c>
      <c r="AF16" s="438">
        <v>484</v>
      </c>
      <c r="AG16" s="305" t="s">
        <v>303</v>
      </c>
      <c r="AH16" s="317">
        <v>377</v>
      </c>
      <c r="AI16" s="305" t="s">
        <v>304</v>
      </c>
      <c r="AJ16" s="317">
        <v>357</v>
      </c>
      <c r="AK16" s="305" t="s">
        <v>305</v>
      </c>
      <c r="AL16" s="317">
        <v>353</v>
      </c>
      <c r="AM16" s="323" t="s">
        <v>306</v>
      </c>
      <c r="AN16" s="317" t="s">
        <v>51</v>
      </c>
      <c r="AO16" s="323" t="s">
        <v>307</v>
      </c>
      <c r="AP16" s="317">
        <v>459</v>
      </c>
      <c r="AQ16" s="323" t="s">
        <v>308</v>
      </c>
      <c r="AR16" s="317">
        <v>327</v>
      </c>
      <c r="AS16" s="323" t="s">
        <v>309</v>
      </c>
      <c r="AT16" s="317">
        <v>252</v>
      </c>
      <c r="AU16" s="323" t="s">
        <v>1378</v>
      </c>
      <c r="AV16" s="317">
        <v>373</v>
      </c>
      <c r="AW16" s="323" t="s">
        <v>310</v>
      </c>
      <c r="AX16" s="417">
        <v>237</v>
      </c>
      <c r="AY16" s="323" t="s">
        <v>311</v>
      </c>
      <c r="AZ16" s="417">
        <v>225</v>
      </c>
      <c r="BA16" s="323" t="s">
        <v>1957</v>
      </c>
      <c r="BB16" s="417">
        <v>320</v>
      </c>
      <c r="BC16" s="323" t="s">
        <v>1990</v>
      </c>
      <c r="BD16" s="417">
        <v>310</v>
      </c>
      <c r="BE16" s="305" t="s">
        <v>312</v>
      </c>
      <c r="BF16" s="317">
        <v>206</v>
      </c>
      <c r="BG16" s="323" t="s">
        <v>313</v>
      </c>
      <c r="BH16" s="317">
        <v>232</v>
      </c>
      <c r="BI16" s="323" t="s">
        <v>314</v>
      </c>
      <c r="BJ16" s="317">
        <v>251</v>
      </c>
      <c r="BK16" s="323" t="s">
        <v>315</v>
      </c>
      <c r="BL16" s="317">
        <v>266</v>
      </c>
      <c r="BM16" s="323" t="s">
        <v>316</v>
      </c>
      <c r="BN16" s="317">
        <v>305</v>
      </c>
      <c r="BO16" s="323" t="s">
        <v>317</v>
      </c>
      <c r="BP16" s="317">
        <v>367</v>
      </c>
      <c r="BQ16" s="323" t="s">
        <v>318</v>
      </c>
      <c r="BR16" s="317" t="s">
        <v>51</v>
      </c>
      <c r="BS16" s="323" t="s">
        <v>319</v>
      </c>
      <c r="BT16" s="317" t="s">
        <v>51</v>
      </c>
    </row>
    <row r="17" spans="1:72">
      <c r="A17" s="85"/>
      <c r="B17" s="92" t="s">
        <v>843</v>
      </c>
      <c r="C17" s="307" t="s">
        <v>1491</v>
      </c>
      <c r="D17" s="318">
        <v>826</v>
      </c>
      <c r="E17" s="307" t="s">
        <v>821</v>
      </c>
      <c r="F17" s="318">
        <v>694</v>
      </c>
      <c r="G17" s="307" t="s">
        <v>823</v>
      </c>
      <c r="H17" s="318">
        <v>725</v>
      </c>
      <c r="I17" s="307" t="s">
        <v>2099</v>
      </c>
      <c r="J17" s="318">
        <v>664</v>
      </c>
      <c r="K17" s="307" t="s">
        <v>1499</v>
      </c>
      <c r="L17" s="318">
        <v>565</v>
      </c>
      <c r="M17" s="307" t="s">
        <v>1492</v>
      </c>
      <c r="N17" s="318">
        <v>782</v>
      </c>
      <c r="O17" s="307" t="s">
        <v>1493</v>
      </c>
      <c r="P17" s="318">
        <v>775</v>
      </c>
      <c r="Q17" s="307" t="s">
        <v>825</v>
      </c>
      <c r="R17" s="318">
        <v>695</v>
      </c>
      <c r="S17" s="307" t="s">
        <v>827</v>
      </c>
      <c r="T17" s="318">
        <v>671</v>
      </c>
      <c r="U17" s="307" t="s">
        <v>829</v>
      </c>
      <c r="V17" s="318">
        <v>617</v>
      </c>
      <c r="W17" s="307" t="s">
        <v>1495</v>
      </c>
      <c r="X17" s="318">
        <v>855</v>
      </c>
      <c r="Y17" s="307" t="s">
        <v>1494</v>
      </c>
      <c r="Z17" s="318">
        <v>855</v>
      </c>
      <c r="AA17" s="307" t="s">
        <v>1723</v>
      </c>
      <c r="AB17" s="318">
        <v>562</v>
      </c>
      <c r="AC17" s="307" t="s">
        <v>1496</v>
      </c>
      <c r="AD17" s="318">
        <v>560</v>
      </c>
      <c r="AE17" s="307" t="s">
        <v>1563</v>
      </c>
      <c r="AF17" s="441">
        <v>539</v>
      </c>
      <c r="AG17" s="307" t="s">
        <v>831</v>
      </c>
      <c r="AH17" s="318">
        <v>432</v>
      </c>
      <c r="AI17" s="307" t="s">
        <v>833</v>
      </c>
      <c r="AJ17" s="318">
        <v>412</v>
      </c>
      <c r="AK17" s="306" t="s">
        <v>835</v>
      </c>
      <c r="AL17" s="318">
        <v>408</v>
      </c>
      <c r="AM17" s="307"/>
      <c r="AN17" s="318" t="s">
        <v>51</v>
      </c>
      <c r="AO17" s="307"/>
      <c r="AP17" s="318" t="s">
        <v>51</v>
      </c>
      <c r="AQ17" s="307" t="s">
        <v>837</v>
      </c>
      <c r="AR17" s="318">
        <v>382</v>
      </c>
      <c r="AS17" s="307" t="s">
        <v>1497</v>
      </c>
      <c r="AT17" s="318">
        <v>307</v>
      </c>
      <c r="AU17" s="307" t="s">
        <v>1379</v>
      </c>
      <c r="AV17" s="318">
        <v>428</v>
      </c>
      <c r="AW17" s="307"/>
      <c r="AX17" s="415" t="s">
        <v>51</v>
      </c>
      <c r="AY17" s="307"/>
      <c r="AZ17" s="415" t="s">
        <v>51</v>
      </c>
      <c r="BA17" s="307"/>
      <c r="BB17" s="415" t="s">
        <v>51</v>
      </c>
      <c r="BC17" s="307"/>
      <c r="BD17" s="415" t="s">
        <v>51</v>
      </c>
      <c r="BE17" s="306"/>
      <c r="BF17" s="318" t="s">
        <v>51</v>
      </c>
      <c r="BG17" s="307"/>
      <c r="BH17" s="318"/>
      <c r="BI17" s="307" t="s">
        <v>840</v>
      </c>
      <c r="BJ17" s="318">
        <v>306</v>
      </c>
      <c r="BK17" s="307" t="s">
        <v>1498</v>
      </c>
      <c r="BL17" s="318">
        <v>321</v>
      </c>
      <c r="BM17" s="307"/>
      <c r="BN17" s="318"/>
      <c r="BO17" s="307"/>
      <c r="BP17" s="318"/>
      <c r="BQ17" s="307"/>
      <c r="BR17" s="318"/>
      <c r="BS17" s="307"/>
      <c r="BT17" s="318"/>
    </row>
    <row r="18" spans="1:72">
      <c r="A18" s="85"/>
      <c r="B18" s="88" t="s">
        <v>3</v>
      </c>
      <c r="C18" s="307" t="s">
        <v>753</v>
      </c>
      <c r="D18" s="318">
        <v>786</v>
      </c>
      <c r="E18" s="306" t="s">
        <v>320</v>
      </c>
      <c r="F18" s="318">
        <v>652</v>
      </c>
      <c r="G18" s="306" t="s">
        <v>321</v>
      </c>
      <c r="H18" s="318">
        <v>683</v>
      </c>
      <c r="I18" s="306" t="s">
        <v>2100</v>
      </c>
      <c r="J18" s="318">
        <v>621</v>
      </c>
      <c r="K18" s="306" t="s">
        <v>1462</v>
      </c>
      <c r="L18" s="318">
        <v>521</v>
      </c>
      <c r="M18" s="306" t="s">
        <v>1347</v>
      </c>
      <c r="N18" s="318">
        <v>741</v>
      </c>
      <c r="O18" s="306" t="s">
        <v>322</v>
      </c>
      <c r="P18" s="318">
        <v>734</v>
      </c>
      <c r="Q18" s="306" t="s">
        <v>323</v>
      </c>
      <c r="R18" s="318">
        <v>653</v>
      </c>
      <c r="S18" s="306" t="s">
        <v>324</v>
      </c>
      <c r="T18" s="318">
        <v>628</v>
      </c>
      <c r="U18" s="306" t="s">
        <v>325</v>
      </c>
      <c r="V18" s="318">
        <v>574</v>
      </c>
      <c r="W18" s="306" t="s">
        <v>1415</v>
      </c>
      <c r="X18" s="318">
        <v>816</v>
      </c>
      <c r="Y18" s="306" t="s">
        <v>326</v>
      </c>
      <c r="Z18" s="318">
        <v>816</v>
      </c>
      <c r="AA18" s="306" t="s">
        <v>1724</v>
      </c>
      <c r="AB18" s="318">
        <v>518</v>
      </c>
      <c r="AC18" s="306" t="s">
        <v>771</v>
      </c>
      <c r="AD18" s="318">
        <v>515</v>
      </c>
      <c r="AE18" s="306" t="s">
        <v>1564</v>
      </c>
      <c r="AF18" s="441">
        <v>494</v>
      </c>
      <c r="AG18" s="306" t="s">
        <v>327</v>
      </c>
      <c r="AH18" s="318">
        <v>385</v>
      </c>
      <c r="AI18" s="306" t="s">
        <v>328</v>
      </c>
      <c r="AJ18" s="318">
        <v>365</v>
      </c>
      <c r="AK18" s="306" t="s">
        <v>329</v>
      </c>
      <c r="AL18" s="318">
        <v>361</v>
      </c>
      <c r="AM18" s="307" t="s">
        <v>330</v>
      </c>
      <c r="AN18" s="318" t="s">
        <v>51</v>
      </c>
      <c r="AO18" s="307" t="s">
        <v>331</v>
      </c>
      <c r="AP18" s="318">
        <v>469</v>
      </c>
      <c r="AQ18" s="307" t="s">
        <v>332</v>
      </c>
      <c r="AR18" s="318">
        <v>335</v>
      </c>
      <c r="AS18" s="307" t="s">
        <v>333</v>
      </c>
      <c r="AT18" s="318">
        <v>258</v>
      </c>
      <c r="AU18" s="307" t="s">
        <v>1380</v>
      </c>
      <c r="AV18" s="318">
        <v>381</v>
      </c>
      <c r="AW18" s="307" t="s">
        <v>334</v>
      </c>
      <c r="AX18" s="415">
        <v>243</v>
      </c>
      <c r="AY18" s="307" t="s">
        <v>335</v>
      </c>
      <c r="AZ18" s="415" t="s">
        <v>51</v>
      </c>
      <c r="BA18" s="307" t="s">
        <v>1958</v>
      </c>
      <c r="BB18" s="415" t="s">
        <v>51</v>
      </c>
      <c r="BC18" s="307" t="s">
        <v>1991</v>
      </c>
      <c r="BD18" s="415" t="s">
        <v>51</v>
      </c>
      <c r="BE18" s="306" t="s">
        <v>336</v>
      </c>
      <c r="BF18" s="318">
        <v>211</v>
      </c>
      <c r="BG18" s="307" t="s">
        <v>337</v>
      </c>
      <c r="BH18" s="318">
        <v>238</v>
      </c>
      <c r="BI18" s="307" t="s">
        <v>338</v>
      </c>
      <c r="BJ18" s="318">
        <v>257</v>
      </c>
      <c r="BK18" s="307" t="s">
        <v>339</v>
      </c>
      <c r="BL18" s="318">
        <v>273</v>
      </c>
      <c r="BM18" s="307" t="s">
        <v>340</v>
      </c>
      <c r="BN18" s="318">
        <v>312</v>
      </c>
      <c r="BO18" s="307" t="s">
        <v>341</v>
      </c>
      <c r="BP18" s="318">
        <v>375</v>
      </c>
      <c r="BQ18" s="307" t="s">
        <v>342</v>
      </c>
      <c r="BR18" s="318" t="s">
        <v>51</v>
      </c>
      <c r="BS18" s="307" t="s">
        <v>343</v>
      </c>
      <c r="BT18" s="318" t="s">
        <v>51</v>
      </c>
    </row>
    <row r="19" spans="1:72">
      <c r="A19" s="85"/>
      <c r="B19" s="92" t="s">
        <v>842</v>
      </c>
      <c r="C19" s="307" t="s">
        <v>754</v>
      </c>
      <c r="D19" s="318">
        <v>841</v>
      </c>
      <c r="E19" s="306" t="s">
        <v>344</v>
      </c>
      <c r="F19" s="318">
        <v>707</v>
      </c>
      <c r="G19" s="306" t="s">
        <v>345</v>
      </c>
      <c r="H19" s="318">
        <v>738</v>
      </c>
      <c r="I19" s="306" t="s">
        <v>2101</v>
      </c>
      <c r="J19" s="318">
        <v>676</v>
      </c>
      <c r="K19" s="306" t="s">
        <v>1463</v>
      </c>
      <c r="L19" s="318">
        <v>576</v>
      </c>
      <c r="M19" s="306" t="s">
        <v>1348</v>
      </c>
      <c r="N19" s="318">
        <v>796</v>
      </c>
      <c r="O19" s="306" t="s">
        <v>346</v>
      </c>
      <c r="P19" s="318">
        <v>789</v>
      </c>
      <c r="Q19" s="306" t="s">
        <v>347</v>
      </c>
      <c r="R19" s="318">
        <v>708</v>
      </c>
      <c r="S19" s="306" t="s">
        <v>348</v>
      </c>
      <c r="T19" s="318">
        <v>683</v>
      </c>
      <c r="U19" s="306" t="s">
        <v>349</v>
      </c>
      <c r="V19" s="318">
        <v>629</v>
      </c>
      <c r="W19" s="306" t="s">
        <v>1416</v>
      </c>
      <c r="X19" s="318">
        <v>871</v>
      </c>
      <c r="Y19" s="306" t="s">
        <v>350</v>
      </c>
      <c r="Z19" s="318">
        <v>871</v>
      </c>
      <c r="AA19" s="306" t="s">
        <v>1725</v>
      </c>
      <c r="AB19" s="318">
        <v>573</v>
      </c>
      <c r="AC19" s="306" t="s">
        <v>772</v>
      </c>
      <c r="AD19" s="318">
        <v>570</v>
      </c>
      <c r="AE19" s="306" t="s">
        <v>1565</v>
      </c>
      <c r="AF19" s="441">
        <v>549</v>
      </c>
      <c r="AG19" s="306" t="s">
        <v>351</v>
      </c>
      <c r="AH19" s="318">
        <v>440</v>
      </c>
      <c r="AI19" s="306" t="s">
        <v>352</v>
      </c>
      <c r="AJ19" s="318">
        <v>420</v>
      </c>
      <c r="AK19" s="306" t="s">
        <v>353</v>
      </c>
      <c r="AL19" s="318">
        <v>416</v>
      </c>
      <c r="AM19" s="307" t="s">
        <v>354</v>
      </c>
      <c r="AN19" s="318" t="s">
        <v>51</v>
      </c>
      <c r="AO19" s="307" t="s">
        <v>355</v>
      </c>
      <c r="AP19" s="318" t="s">
        <v>51</v>
      </c>
      <c r="AQ19" s="307" t="s">
        <v>356</v>
      </c>
      <c r="AR19" s="318">
        <v>390</v>
      </c>
      <c r="AS19" s="307" t="s">
        <v>357</v>
      </c>
      <c r="AT19" s="318" t="s">
        <v>51</v>
      </c>
      <c r="AU19" s="307" t="s">
        <v>1381</v>
      </c>
      <c r="AV19" s="318">
        <v>436</v>
      </c>
      <c r="AW19" s="307" t="s">
        <v>358</v>
      </c>
      <c r="AX19" s="415" t="s">
        <v>51</v>
      </c>
      <c r="AY19" s="307" t="s">
        <v>359</v>
      </c>
      <c r="AZ19" s="415" t="s">
        <v>51</v>
      </c>
      <c r="BA19" s="307" t="s">
        <v>1959</v>
      </c>
      <c r="BB19" s="415" t="s">
        <v>51</v>
      </c>
      <c r="BC19" s="307" t="s">
        <v>1992</v>
      </c>
      <c r="BD19" s="415" t="s">
        <v>51</v>
      </c>
      <c r="BE19" s="306" t="s">
        <v>360</v>
      </c>
      <c r="BF19" s="318" t="s">
        <v>51</v>
      </c>
      <c r="BG19" s="307" t="s">
        <v>361</v>
      </c>
      <c r="BH19" s="318" t="s">
        <v>51</v>
      </c>
      <c r="BI19" s="307" t="s">
        <v>362</v>
      </c>
      <c r="BJ19" s="318">
        <v>312</v>
      </c>
      <c r="BK19" s="307" t="s">
        <v>363</v>
      </c>
      <c r="BL19" s="318">
        <v>328</v>
      </c>
      <c r="BM19" s="307" t="s">
        <v>364</v>
      </c>
      <c r="BN19" s="318" t="s">
        <v>51</v>
      </c>
      <c r="BO19" s="307" t="s">
        <v>365</v>
      </c>
      <c r="BP19" s="318" t="s">
        <v>51</v>
      </c>
      <c r="BQ19" s="307" t="s">
        <v>366</v>
      </c>
      <c r="BR19" s="318" t="s">
        <v>51</v>
      </c>
      <c r="BS19" s="307" t="s">
        <v>367</v>
      </c>
      <c r="BT19" s="318" t="s">
        <v>51</v>
      </c>
    </row>
    <row r="20" spans="1:72">
      <c r="A20" s="85"/>
      <c r="B20" s="88" t="s">
        <v>5</v>
      </c>
      <c r="C20" s="307" t="s">
        <v>755</v>
      </c>
      <c r="D20" s="318">
        <v>805</v>
      </c>
      <c r="E20" s="306" t="s">
        <v>368</v>
      </c>
      <c r="F20" s="318">
        <v>667</v>
      </c>
      <c r="G20" s="306" t="s">
        <v>369</v>
      </c>
      <c r="H20" s="318">
        <v>699</v>
      </c>
      <c r="I20" s="306" t="s">
        <v>2102</v>
      </c>
      <c r="J20" s="318">
        <v>635</v>
      </c>
      <c r="K20" s="306" t="s">
        <v>1464</v>
      </c>
      <c r="L20" s="318">
        <v>532</v>
      </c>
      <c r="M20" s="306" t="s">
        <v>1349</v>
      </c>
      <c r="N20" s="318">
        <v>759</v>
      </c>
      <c r="O20" s="306" t="s">
        <v>370</v>
      </c>
      <c r="P20" s="318">
        <v>751</v>
      </c>
      <c r="Q20" s="306" t="s">
        <v>371</v>
      </c>
      <c r="R20" s="318">
        <v>668</v>
      </c>
      <c r="S20" s="306" t="s">
        <v>372</v>
      </c>
      <c r="T20" s="318">
        <v>643</v>
      </c>
      <c r="U20" s="306" t="s">
        <v>373</v>
      </c>
      <c r="V20" s="318">
        <v>586</v>
      </c>
      <c r="W20" s="306" t="s">
        <v>1417</v>
      </c>
      <c r="X20" s="318">
        <v>835</v>
      </c>
      <c r="Y20" s="306" t="s">
        <v>374</v>
      </c>
      <c r="Z20" s="318">
        <v>835</v>
      </c>
      <c r="AA20" s="306" t="s">
        <v>1726</v>
      </c>
      <c r="AB20" s="318">
        <v>529</v>
      </c>
      <c r="AC20" s="306" t="s">
        <v>773</v>
      </c>
      <c r="AD20" s="318">
        <v>527</v>
      </c>
      <c r="AE20" s="306" t="s">
        <v>1566</v>
      </c>
      <c r="AF20" s="441">
        <v>508</v>
      </c>
      <c r="AG20" s="306" t="s">
        <v>375</v>
      </c>
      <c r="AH20" s="318">
        <v>393</v>
      </c>
      <c r="AI20" s="306" t="s">
        <v>376</v>
      </c>
      <c r="AJ20" s="318">
        <v>373</v>
      </c>
      <c r="AK20" s="306" t="s">
        <v>377</v>
      </c>
      <c r="AL20" s="318">
        <v>371</v>
      </c>
      <c r="AM20" s="307" t="s">
        <v>378</v>
      </c>
      <c r="AN20" s="318" t="s">
        <v>51</v>
      </c>
      <c r="AO20" s="307" t="s">
        <v>379</v>
      </c>
      <c r="AP20" s="318">
        <v>499</v>
      </c>
      <c r="AQ20" s="307" t="s">
        <v>380</v>
      </c>
      <c r="AR20" s="318">
        <v>341</v>
      </c>
      <c r="AS20" s="307" t="s">
        <v>381</v>
      </c>
      <c r="AT20" s="318">
        <v>263</v>
      </c>
      <c r="AU20" s="307" t="s">
        <v>1382</v>
      </c>
      <c r="AV20" s="318">
        <v>389</v>
      </c>
      <c r="AW20" s="307" t="s">
        <v>382</v>
      </c>
      <c r="AX20" s="415">
        <v>247</v>
      </c>
      <c r="AY20" s="307" t="s">
        <v>383</v>
      </c>
      <c r="AZ20" s="415">
        <v>233</v>
      </c>
      <c r="BA20" s="307" t="s">
        <v>1960</v>
      </c>
      <c r="BB20" s="415"/>
      <c r="BC20" s="307" t="s">
        <v>1993</v>
      </c>
      <c r="BD20" s="415"/>
      <c r="BE20" s="306" t="s">
        <v>384</v>
      </c>
      <c r="BF20" s="318">
        <v>215</v>
      </c>
      <c r="BG20" s="307" t="s">
        <v>385</v>
      </c>
      <c r="BH20" s="318">
        <v>242</v>
      </c>
      <c r="BI20" s="307" t="s">
        <v>386</v>
      </c>
      <c r="BJ20" s="318">
        <v>262</v>
      </c>
      <c r="BK20" s="307" t="s">
        <v>387</v>
      </c>
      <c r="BL20" s="318">
        <v>278</v>
      </c>
      <c r="BM20" s="307" t="s">
        <v>388</v>
      </c>
      <c r="BN20" s="318">
        <v>318</v>
      </c>
      <c r="BO20" s="307" t="s">
        <v>389</v>
      </c>
      <c r="BP20" s="318">
        <v>383</v>
      </c>
      <c r="BQ20" s="307" t="s">
        <v>390</v>
      </c>
      <c r="BR20" s="318" t="s">
        <v>51</v>
      </c>
      <c r="BS20" s="307" t="s">
        <v>391</v>
      </c>
      <c r="BT20" s="318" t="s">
        <v>51</v>
      </c>
    </row>
    <row r="21" spans="1:72">
      <c r="A21" s="85"/>
      <c r="B21" s="92" t="s">
        <v>844</v>
      </c>
      <c r="C21" s="307"/>
      <c r="D21" s="318">
        <v>773</v>
      </c>
      <c r="E21" s="306" t="s">
        <v>822</v>
      </c>
      <c r="F21" s="318">
        <v>652</v>
      </c>
      <c r="G21" s="306" t="s">
        <v>824</v>
      </c>
      <c r="H21" s="318" t="s">
        <v>51</v>
      </c>
      <c r="I21" s="306" t="s">
        <v>2103</v>
      </c>
      <c r="J21" s="318" t="s">
        <v>51</v>
      </c>
      <c r="K21" s="306"/>
      <c r="L21" s="318" t="s">
        <v>51</v>
      </c>
      <c r="M21" s="306"/>
      <c r="N21" s="318" t="s">
        <v>51</v>
      </c>
      <c r="O21" s="306"/>
      <c r="P21" s="318">
        <v>810</v>
      </c>
      <c r="Q21" s="306" t="s">
        <v>826</v>
      </c>
      <c r="R21" s="318">
        <v>725</v>
      </c>
      <c r="S21" s="306" t="s">
        <v>828</v>
      </c>
      <c r="T21" s="318">
        <v>710</v>
      </c>
      <c r="U21" s="306" t="s">
        <v>830</v>
      </c>
      <c r="V21" s="318">
        <v>651</v>
      </c>
      <c r="W21" s="306"/>
      <c r="X21" s="318"/>
      <c r="Y21" s="306"/>
      <c r="Z21" s="318"/>
      <c r="AA21" s="306"/>
      <c r="AB21" s="318" t="s">
        <v>51</v>
      </c>
      <c r="AC21" s="306"/>
      <c r="AD21" s="318"/>
      <c r="AE21" s="306"/>
      <c r="AF21" s="441" t="s">
        <v>51</v>
      </c>
      <c r="AG21" s="306" t="s">
        <v>832</v>
      </c>
      <c r="AH21" s="318" t="s">
        <v>51</v>
      </c>
      <c r="AI21" s="306" t="s">
        <v>834</v>
      </c>
      <c r="AJ21" s="318" t="s">
        <v>51</v>
      </c>
      <c r="AK21" s="306" t="s">
        <v>836</v>
      </c>
      <c r="AL21" s="318" t="s">
        <v>51</v>
      </c>
      <c r="AM21" s="307"/>
      <c r="AN21" s="318" t="s">
        <v>51</v>
      </c>
      <c r="AO21" s="307"/>
      <c r="AP21" s="318" t="s">
        <v>51</v>
      </c>
      <c r="AQ21" s="307" t="s">
        <v>838</v>
      </c>
      <c r="AR21" s="318" t="s">
        <v>51</v>
      </c>
      <c r="AS21" s="307"/>
      <c r="AT21" s="318" t="s">
        <v>51</v>
      </c>
      <c r="AU21" s="307" t="s">
        <v>838</v>
      </c>
      <c r="AV21" s="318" t="s">
        <v>51</v>
      </c>
      <c r="AW21" s="307"/>
      <c r="AX21" s="415" t="s">
        <v>51</v>
      </c>
      <c r="AY21" s="307"/>
      <c r="AZ21" s="415"/>
      <c r="BA21" s="307"/>
      <c r="BB21" s="415"/>
      <c r="BC21" s="307"/>
      <c r="BD21" s="415"/>
      <c r="BE21" s="306"/>
      <c r="BF21" s="318" t="s">
        <v>51</v>
      </c>
      <c r="BG21" s="307"/>
      <c r="BH21" s="318"/>
      <c r="BI21" s="307" t="s">
        <v>841</v>
      </c>
      <c r="BJ21" s="318"/>
      <c r="BK21" s="307"/>
      <c r="BL21" s="318"/>
      <c r="BM21" s="307"/>
      <c r="BN21" s="318"/>
      <c r="BO21" s="307"/>
      <c r="BP21" s="318"/>
      <c r="BQ21" s="307"/>
      <c r="BR21" s="318"/>
      <c r="BS21" s="307"/>
      <c r="BT21" s="318"/>
    </row>
    <row r="22" spans="1:72">
      <c r="A22" s="85"/>
      <c r="B22" s="92" t="s">
        <v>6</v>
      </c>
      <c r="C22" s="307" t="s">
        <v>756</v>
      </c>
      <c r="D22" s="318">
        <v>880</v>
      </c>
      <c r="E22" s="306" t="s">
        <v>392</v>
      </c>
      <c r="F22" s="318">
        <v>730</v>
      </c>
      <c r="G22" s="306" t="s">
        <v>393</v>
      </c>
      <c r="H22" s="318">
        <v>765</v>
      </c>
      <c r="I22" s="306" t="s">
        <v>2104</v>
      </c>
      <c r="J22" s="318">
        <v>695</v>
      </c>
      <c r="K22" s="306" t="s">
        <v>1465</v>
      </c>
      <c r="L22" s="318">
        <v>582</v>
      </c>
      <c r="M22" s="306" t="s">
        <v>1350</v>
      </c>
      <c r="N22" s="318">
        <v>830</v>
      </c>
      <c r="O22" s="306" t="s">
        <v>394</v>
      </c>
      <c r="P22" s="318">
        <v>822</v>
      </c>
      <c r="Q22" s="306" t="s">
        <v>395</v>
      </c>
      <c r="R22" s="318">
        <v>731</v>
      </c>
      <c r="S22" s="306" t="s">
        <v>396</v>
      </c>
      <c r="T22" s="318">
        <v>703</v>
      </c>
      <c r="U22" s="306" t="s">
        <v>397</v>
      </c>
      <c r="V22" s="318">
        <v>642</v>
      </c>
      <c r="W22" s="306" t="s">
        <v>1418</v>
      </c>
      <c r="X22" s="318">
        <v>913</v>
      </c>
      <c r="Y22" s="306" t="s">
        <v>398</v>
      </c>
      <c r="Z22" s="318">
        <v>913</v>
      </c>
      <c r="AA22" s="306" t="s">
        <v>1727</v>
      </c>
      <c r="AB22" s="318">
        <v>582</v>
      </c>
      <c r="AC22" s="306" t="s">
        <v>774</v>
      </c>
      <c r="AD22" s="318">
        <v>576</v>
      </c>
      <c r="AE22" s="306" t="s">
        <v>1567</v>
      </c>
      <c r="AF22" s="441">
        <v>554</v>
      </c>
      <c r="AG22" s="306" t="s">
        <v>399</v>
      </c>
      <c r="AH22" s="318">
        <v>435</v>
      </c>
      <c r="AI22" s="306" t="s">
        <v>400</v>
      </c>
      <c r="AJ22" s="318">
        <v>411</v>
      </c>
      <c r="AK22" s="306" t="s">
        <v>401</v>
      </c>
      <c r="AL22" s="318">
        <v>403</v>
      </c>
      <c r="AM22" s="307" t="s">
        <v>402</v>
      </c>
      <c r="AN22" s="318" t="s">
        <v>51</v>
      </c>
      <c r="AO22" s="307" t="s">
        <v>403</v>
      </c>
      <c r="AP22" s="318">
        <v>547</v>
      </c>
      <c r="AQ22" s="307" t="s">
        <v>404</v>
      </c>
      <c r="AR22" s="318">
        <v>377</v>
      </c>
      <c r="AS22" s="307" t="s">
        <v>405</v>
      </c>
      <c r="AT22" s="318">
        <v>288</v>
      </c>
      <c r="AU22" s="307" t="s">
        <v>1383</v>
      </c>
      <c r="AV22" s="318">
        <v>426</v>
      </c>
      <c r="AW22" s="307" t="s">
        <v>406</v>
      </c>
      <c r="AX22" s="415"/>
      <c r="AY22" s="307" t="s">
        <v>407</v>
      </c>
      <c r="AZ22" s="415" t="s">
        <v>51</v>
      </c>
      <c r="BA22" s="307" t="s">
        <v>1961</v>
      </c>
      <c r="BB22" s="415" t="s">
        <v>51</v>
      </c>
      <c r="BC22" s="307" t="s">
        <v>1994</v>
      </c>
      <c r="BD22" s="415" t="s">
        <v>51</v>
      </c>
      <c r="BE22" s="306" t="s">
        <v>408</v>
      </c>
      <c r="BF22" s="318">
        <v>235</v>
      </c>
      <c r="BG22" s="307" t="s">
        <v>409</v>
      </c>
      <c r="BH22" s="318">
        <v>265</v>
      </c>
      <c r="BI22" s="307" t="s">
        <v>410</v>
      </c>
      <c r="BJ22" s="318">
        <v>287</v>
      </c>
      <c r="BK22" s="307" t="s">
        <v>411</v>
      </c>
      <c r="BL22" s="318">
        <v>304</v>
      </c>
      <c r="BM22" s="307" t="s">
        <v>412</v>
      </c>
      <c r="BN22" s="318">
        <v>348</v>
      </c>
      <c r="BO22" s="307" t="s">
        <v>413</v>
      </c>
      <c r="BP22" s="318">
        <v>419</v>
      </c>
      <c r="BQ22" s="307" t="s">
        <v>414</v>
      </c>
      <c r="BR22" s="318" t="s">
        <v>51</v>
      </c>
      <c r="BS22" s="307" t="s">
        <v>415</v>
      </c>
      <c r="BT22" s="318" t="s">
        <v>51</v>
      </c>
    </row>
    <row r="23" spans="1:72">
      <c r="A23" s="85"/>
      <c r="B23" s="88" t="s">
        <v>7</v>
      </c>
      <c r="C23" s="307" t="s">
        <v>757</v>
      </c>
      <c r="D23" s="318">
        <v>879</v>
      </c>
      <c r="E23" s="306" t="s">
        <v>416</v>
      </c>
      <c r="F23" s="318">
        <v>729</v>
      </c>
      <c r="G23" s="306" t="s">
        <v>417</v>
      </c>
      <c r="H23" s="318">
        <v>764</v>
      </c>
      <c r="I23" s="306" t="s">
        <v>2105</v>
      </c>
      <c r="J23" s="318">
        <v>694</v>
      </c>
      <c r="K23" s="306" t="s">
        <v>1466</v>
      </c>
      <c r="L23" s="318">
        <v>581</v>
      </c>
      <c r="M23" s="306" t="s">
        <v>1351</v>
      </c>
      <c r="N23" s="318">
        <v>829</v>
      </c>
      <c r="O23" s="306" t="s">
        <v>418</v>
      </c>
      <c r="P23" s="318">
        <v>821</v>
      </c>
      <c r="Q23" s="306" t="s">
        <v>419</v>
      </c>
      <c r="R23" s="318">
        <v>730</v>
      </c>
      <c r="S23" s="306" t="s">
        <v>420</v>
      </c>
      <c r="T23" s="318">
        <v>702</v>
      </c>
      <c r="U23" s="306" t="s">
        <v>421</v>
      </c>
      <c r="V23" s="318">
        <v>641</v>
      </c>
      <c r="W23" s="306" t="s">
        <v>1419</v>
      </c>
      <c r="X23" s="318">
        <v>912</v>
      </c>
      <c r="Y23" s="306" t="s">
        <v>422</v>
      </c>
      <c r="Z23" s="318">
        <v>912</v>
      </c>
      <c r="AA23" s="306" t="s">
        <v>1728</v>
      </c>
      <c r="AB23" s="318">
        <v>577</v>
      </c>
      <c r="AC23" s="306" t="s">
        <v>775</v>
      </c>
      <c r="AD23" s="318">
        <v>575</v>
      </c>
      <c r="AE23" s="306" t="s">
        <v>1568</v>
      </c>
      <c r="AF23" s="441">
        <v>553</v>
      </c>
      <c r="AG23" s="306" t="s">
        <v>423</v>
      </c>
      <c r="AH23" s="318">
        <v>429</v>
      </c>
      <c r="AI23" s="306" t="s">
        <v>424</v>
      </c>
      <c r="AJ23" s="318">
        <v>406</v>
      </c>
      <c r="AK23" s="306" t="s">
        <v>425</v>
      </c>
      <c r="AL23" s="318">
        <v>402</v>
      </c>
      <c r="AM23" s="307" t="s">
        <v>426</v>
      </c>
      <c r="AN23" s="318">
        <v>628</v>
      </c>
      <c r="AO23" s="307" t="s">
        <v>427</v>
      </c>
      <c r="AP23" s="318">
        <v>540</v>
      </c>
      <c r="AQ23" s="307" t="s">
        <v>428</v>
      </c>
      <c r="AR23" s="318">
        <v>376</v>
      </c>
      <c r="AS23" s="307" t="s">
        <v>429</v>
      </c>
      <c r="AT23" s="318" t="s">
        <v>51</v>
      </c>
      <c r="AU23" s="307" t="s">
        <v>1384</v>
      </c>
      <c r="AV23" s="318">
        <v>425</v>
      </c>
      <c r="AW23" s="307" t="s">
        <v>430</v>
      </c>
      <c r="AX23" s="415"/>
      <c r="AY23" s="307" t="s">
        <v>431</v>
      </c>
      <c r="AZ23" s="415"/>
      <c r="BA23" s="307" t="s">
        <v>1962</v>
      </c>
      <c r="BB23" s="415"/>
      <c r="BC23" s="307" t="s">
        <v>1995</v>
      </c>
      <c r="BD23" s="415"/>
      <c r="BE23" s="306" t="s">
        <v>432</v>
      </c>
      <c r="BF23" s="318" t="s">
        <v>51</v>
      </c>
      <c r="BG23" s="307" t="s">
        <v>433</v>
      </c>
      <c r="BH23" s="318" t="s">
        <v>51</v>
      </c>
      <c r="BI23" s="307" t="s">
        <v>434</v>
      </c>
      <c r="BJ23" s="318">
        <v>286</v>
      </c>
      <c r="BK23" s="307" t="s">
        <v>435</v>
      </c>
      <c r="BL23" s="318">
        <v>300</v>
      </c>
      <c r="BM23" s="307" t="s">
        <v>436</v>
      </c>
      <c r="BN23" s="318">
        <v>344</v>
      </c>
      <c r="BO23" s="307" t="s">
        <v>437</v>
      </c>
      <c r="BP23" s="318">
        <v>416</v>
      </c>
      <c r="BQ23" s="307" t="s">
        <v>438</v>
      </c>
      <c r="BR23" s="318">
        <v>482</v>
      </c>
      <c r="BS23" s="307" t="s">
        <v>439</v>
      </c>
      <c r="BT23" s="318" t="s">
        <v>51</v>
      </c>
    </row>
    <row r="24" spans="1:72">
      <c r="A24" s="85"/>
      <c r="B24" s="92" t="s">
        <v>8</v>
      </c>
      <c r="C24" s="307" t="s">
        <v>758</v>
      </c>
      <c r="D24" s="318">
        <v>1026</v>
      </c>
      <c r="E24" s="306" t="s">
        <v>440</v>
      </c>
      <c r="F24" s="318">
        <v>850</v>
      </c>
      <c r="G24" s="306" t="s">
        <v>441</v>
      </c>
      <c r="H24" s="318">
        <v>891</v>
      </c>
      <c r="I24" s="306" t="s">
        <v>2106</v>
      </c>
      <c r="J24" s="318">
        <v>810</v>
      </c>
      <c r="K24" s="306" t="s">
        <v>1467</v>
      </c>
      <c r="L24" s="318">
        <v>678</v>
      </c>
      <c r="M24" s="306" t="s">
        <v>1352</v>
      </c>
      <c r="N24" s="318">
        <v>967</v>
      </c>
      <c r="O24" s="306" t="s">
        <v>442</v>
      </c>
      <c r="P24" s="318">
        <v>958</v>
      </c>
      <c r="Q24" s="306" t="s">
        <v>443</v>
      </c>
      <c r="R24" s="318">
        <v>851</v>
      </c>
      <c r="S24" s="306" t="s">
        <v>444</v>
      </c>
      <c r="T24" s="318">
        <v>820</v>
      </c>
      <c r="U24" s="306" t="s">
        <v>445</v>
      </c>
      <c r="V24" s="318">
        <v>748</v>
      </c>
      <c r="W24" s="306" t="s">
        <v>1420</v>
      </c>
      <c r="X24" s="318">
        <v>1064</v>
      </c>
      <c r="Y24" s="306" t="s">
        <v>446</v>
      </c>
      <c r="Z24" s="318">
        <v>1064</v>
      </c>
      <c r="AA24" s="306" t="s">
        <v>1729</v>
      </c>
      <c r="AB24" s="318">
        <v>675</v>
      </c>
      <c r="AC24" s="306" t="s">
        <v>776</v>
      </c>
      <c r="AD24" s="318">
        <v>671</v>
      </c>
      <c r="AE24" s="306" t="s">
        <v>1569</v>
      </c>
      <c r="AF24" s="441">
        <v>644</v>
      </c>
      <c r="AG24" s="306" t="s">
        <v>447</v>
      </c>
      <c r="AH24" s="318" t="s">
        <v>51</v>
      </c>
      <c r="AI24" s="306" t="s">
        <v>448</v>
      </c>
      <c r="AJ24" s="318">
        <v>475</v>
      </c>
      <c r="AK24" s="306" t="s">
        <v>449</v>
      </c>
      <c r="AL24" s="318" t="s">
        <v>51</v>
      </c>
      <c r="AM24" s="307" t="s">
        <v>450</v>
      </c>
      <c r="AN24" s="318">
        <v>738</v>
      </c>
      <c r="AO24" s="307" t="s">
        <v>451</v>
      </c>
      <c r="AP24" s="318">
        <v>634</v>
      </c>
      <c r="AQ24" s="307" t="s">
        <v>452</v>
      </c>
      <c r="AR24" s="318" t="s">
        <v>51</v>
      </c>
      <c r="AS24" s="307" t="s">
        <v>453</v>
      </c>
      <c r="AT24" s="318" t="s">
        <v>51</v>
      </c>
      <c r="AU24" s="307" t="s">
        <v>1385</v>
      </c>
      <c r="AV24" s="318" t="s">
        <v>51</v>
      </c>
      <c r="AW24" s="307" t="s">
        <v>454</v>
      </c>
      <c r="AX24" s="415"/>
      <c r="AY24" s="307" t="s">
        <v>455</v>
      </c>
      <c r="AZ24" s="415"/>
      <c r="BA24" s="307" t="s">
        <v>1963</v>
      </c>
      <c r="BB24" s="415"/>
      <c r="BC24" s="307" t="s">
        <v>1996</v>
      </c>
      <c r="BD24" s="415"/>
      <c r="BE24" s="306" t="s">
        <v>456</v>
      </c>
      <c r="BF24" s="318" t="s">
        <v>51</v>
      </c>
      <c r="BG24" s="307" t="s">
        <v>457</v>
      </c>
      <c r="BH24" s="318" t="s">
        <v>51</v>
      </c>
      <c r="BI24" s="307" t="s">
        <v>458</v>
      </c>
      <c r="BJ24" s="318" t="s">
        <v>51</v>
      </c>
      <c r="BK24" s="307" t="s">
        <v>459</v>
      </c>
      <c r="BL24" s="318">
        <v>354</v>
      </c>
      <c r="BM24" s="307" t="s">
        <v>460</v>
      </c>
      <c r="BN24" s="318">
        <v>393</v>
      </c>
      <c r="BO24" s="307" t="s">
        <v>461</v>
      </c>
      <c r="BP24" s="318">
        <v>475</v>
      </c>
      <c r="BQ24" s="307" t="s">
        <v>462</v>
      </c>
      <c r="BR24" s="318">
        <v>550</v>
      </c>
      <c r="BS24" s="307" t="s">
        <v>463</v>
      </c>
      <c r="BT24" s="318">
        <v>613</v>
      </c>
    </row>
    <row r="25" spans="1:72" ht="15.75" thickBot="1">
      <c r="A25" s="85"/>
      <c r="B25" s="90" t="s">
        <v>9</v>
      </c>
      <c r="C25" s="322" t="s">
        <v>759</v>
      </c>
      <c r="D25" s="319" t="s">
        <v>51</v>
      </c>
      <c r="E25" s="304" t="s">
        <v>464</v>
      </c>
      <c r="F25" s="319" t="s">
        <v>51</v>
      </c>
      <c r="G25" s="304" t="s">
        <v>465</v>
      </c>
      <c r="H25" s="319" t="s">
        <v>51</v>
      </c>
      <c r="I25" s="304" t="s">
        <v>2107</v>
      </c>
      <c r="J25" s="319" t="s">
        <v>51</v>
      </c>
      <c r="K25" s="304"/>
      <c r="L25" s="319" t="s">
        <v>51</v>
      </c>
      <c r="M25" s="304" t="s">
        <v>1353</v>
      </c>
      <c r="N25" s="319" t="s">
        <v>51</v>
      </c>
      <c r="O25" s="304" t="s">
        <v>466</v>
      </c>
      <c r="P25" s="319" t="s">
        <v>51</v>
      </c>
      <c r="Q25" s="304" t="s">
        <v>467</v>
      </c>
      <c r="R25" s="319" t="s">
        <v>51</v>
      </c>
      <c r="S25" s="304" t="s">
        <v>468</v>
      </c>
      <c r="T25" s="319" t="s">
        <v>51</v>
      </c>
      <c r="U25" s="304" t="s">
        <v>469</v>
      </c>
      <c r="V25" s="319" t="s">
        <v>51</v>
      </c>
      <c r="W25" s="304" t="s">
        <v>1421</v>
      </c>
      <c r="X25" s="319" t="s">
        <v>51</v>
      </c>
      <c r="Y25" s="304" t="s">
        <v>470</v>
      </c>
      <c r="Z25" s="319" t="s">
        <v>51</v>
      </c>
      <c r="AA25" s="304" t="s">
        <v>1730</v>
      </c>
      <c r="AB25" s="319" t="s">
        <v>51</v>
      </c>
      <c r="AC25" s="304" t="s">
        <v>777</v>
      </c>
      <c r="AD25" s="319">
        <v>757</v>
      </c>
      <c r="AE25" s="304" t="s">
        <v>1570</v>
      </c>
      <c r="AF25" s="444" t="s">
        <v>51</v>
      </c>
      <c r="AG25" s="304" t="s">
        <v>471</v>
      </c>
      <c r="AH25" s="319" t="s">
        <v>51</v>
      </c>
      <c r="AI25" s="304" t="s">
        <v>472</v>
      </c>
      <c r="AJ25" s="319" t="s">
        <v>51</v>
      </c>
      <c r="AK25" s="304" t="s">
        <v>473</v>
      </c>
      <c r="AL25" s="319" t="s">
        <v>51</v>
      </c>
      <c r="AM25" s="322" t="s">
        <v>474</v>
      </c>
      <c r="AN25" s="319">
        <v>834</v>
      </c>
      <c r="AO25" s="322" t="s">
        <v>475</v>
      </c>
      <c r="AP25" s="319">
        <v>717</v>
      </c>
      <c r="AQ25" s="322" t="s">
        <v>476</v>
      </c>
      <c r="AR25" s="319" t="s">
        <v>51</v>
      </c>
      <c r="AS25" s="322" t="s">
        <v>477</v>
      </c>
      <c r="AT25" s="319" t="s">
        <v>51</v>
      </c>
      <c r="AU25" s="322" t="s">
        <v>1386</v>
      </c>
      <c r="AV25" s="319" t="s">
        <v>51</v>
      </c>
      <c r="AW25" s="322" t="s">
        <v>478</v>
      </c>
      <c r="AX25" s="418"/>
      <c r="AY25" s="322" t="s">
        <v>479</v>
      </c>
      <c r="AZ25" s="418"/>
      <c r="BA25" s="322" t="s">
        <v>1964</v>
      </c>
      <c r="BB25" s="418"/>
      <c r="BC25" s="322" t="s">
        <v>1997</v>
      </c>
      <c r="BD25" s="418"/>
      <c r="BE25" s="304" t="s">
        <v>480</v>
      </c>
      <c r="BF25" s="319" t="s">
        <v>51</v>
      </c>
      <c r="BG25" s="322" t="s">
        <v>481</v>
      </c>
      <c r="BH25" s="319" t="s">
        <v>51</v>
      </c>
      <c r="BI25" s="322" t="s">
        <v>482</v>
      </c>
      <c r="BJ25" s="319" t="s">
        <v>51</v>
      </c>
      <c r="BK25" s="322" t="s">
        <v>483</v>
      </c>
      <c r="BL25" s="319" t="s">
        <v>51</v>
      </c>
      <c r="BM25" s="322" t="s">
        <v>484</v>
      </c>
      <c r="BN25" s="319" t="s">
        <v>51</v>
      </c>
      <c r="BO25" s="322" t="s">
        <v>485</v>
      </c>
      <c r="BP25" s="319">
        <v>536</v>
      </c>
      <c r="BQ25" s="322" t="s">
        <v>486</v>
      </c>
      <c r="BR25" s="319">
        <v>621</v>
      </c>
      <c r="BS25" s="322" t="s">
        <v>487</v>
      </c>
      <c r="BT25" s="319">
        <v>691</v>
      </c>
    </row>
    <row r="26" spans="1:72">
      <c r="B26" s="91" t="s">
        <v>60</v>
      </c>
      <c r="C26" s="320" t="s">
        <v>488</v>
      </c>
      <c r="D26" s="317">
        <v>781</v>
      </c>
      <c r="E26" s="302" t="s">
        <v>489</v>
      </c>
      <c r="F26" s="317">
        <v>649</v>
      </c>
      <c r="G26" s="302" t="s">
        <v>490</v>
      </c>
      <c r="H26" s="317">
        <v>680</v>
      </c>
      <c r="I26" s="302" t="s">
        <v>2108</v>
      </c>
      <c r="J26" s="317">
        <v>619</v>
      </c>
      <c r="K26" s="302" t="s">
        <v>1468</v>
      </c>
      <c r="L26" s="317">
        <v>520</v>
      </c>
      <c r="M26" s="302" t="s">
        <v>1354</v>
      </c>
      <c r="N26" s="317">
        <v>752</v>
      </c>
      <c r="O26" s="302" t="s">
        <v>491</v>
      </c>
      <c r="P26" s="317">
        <v>746</v>
      </c>
      <c r="Q26" s="302" t="s">
        <v>492</v>
      </c>
      <c r="R26" s="317">
        <v>650</v>
      </c>
      <c r="S26" s="302" t="s">
        <v>493</v>
      </c>
      <c r="T26" s="317">
        <v>626</v>
      </c>
      <c r="U26" s="302" t="s">
        <v>494</v>
      </c>
      <c r="V26" s="317">
        <v>572</v>
      </c>
      <c r="W26" s="302" t="s">
        <v>1422</v>
      </c>
      <c r="X26" s="317">
        <v>839</v>
      </c>
      <c r="Y26" s="302" t="s">
        <v>495</v>
      </c>
      <c r="Z26" s="317">
        <v>839</v>
      </c>
      <c r="AA26" s="302" t="s">
        <v>1731</v>
      </c>
      <c r="AB26" s="317">
        <v>517</v>
      </c>
      <c r="AC26" s="302" t="s">
        <v>778</v>
      </c>
      <c r="AD26" s="317">
        <v>515</v>
      </c>
      <c r="AE26" s="302" t="s">
        <v>1571</v>
      </c>
      <c r="AF26" s="438">
        <v>494</v>
      </c>
      <c r="AG26" s="302" t="s">
        <v>496</v>
      </c>
      <c r="AH26" s="317">
        <v>394</v>
      </c>
      <c r="AI26" s="302" t="s">
        <v>497</v>
      </c>
      <c r="AJ26" s="317">
        <v>367</v>
      </c>
      <c r="AK26" s="302" t="s">
        <v>498</v>
      </c>
      <c r="AL26" s="317">
        <v>353</v>
      </c>
      <c r="AM26" s="320" t="s">
        <v>499</v>
      </c>
      <c r="AN26" s="317">
        <v>531</v>
      </c>
      <c r="AO26" s="320" t="s">
        <v>500</v>
      </c>
      <c r="AP26" s="317">
        <v>459</v>
      </c>
      <c r="AQ26" s="320" t="s">
        <v>501</v>
      </c>
      <c r="AR26" s="317">
        <v>327</v>
      </c>
      <c r="AS26" s="320" t="s">
        <v>502</v>
      </c>
      <c r="AT26" s="317">
        <v>252</v>
      </c>
      <c r="AU26" s="320" t="s">
        <v>1387</v>
      </c>
      <c r="AV26" s="317">
        <v>373</v>
      </c>
      <c r="AW26" s="320" t="s">
        <v>503</v>
      </c>
      <c r="AX26" s="417" t="s">
        <v>51</v>
      </c>
      <c r="AY26" s="320" t="s">
        <v>504</v>
      </c>
      <c r="AZ26" s="417"/>
      <c r="BA26" s="320" t="s">
        <v>1965</v>
      </c>
      <c r="BB26" s="417"/>
      <c r="BC26" s="320" t="s">
        <v>1998</v>
      </c>
      <c r="BD26" s="417"/>
      <c r="BE26" s="302" t="s">
        <v>505</v>
      </c>
      <c r="BF26" s="317">
        <v>199</v>
      </c>
      <c r="BG26" s="320" t="s">
        <v>506</v>
      </c>
      <c r="BH26" s="317">
        <v>223</v>
      </c>
      <c r="BI26" s="320" t="s">
        <v>507</v>
      </c>
      <c r="BJ26" s="317">
        <v>241</v>
      </c>
      <c r="BK26" s="320" t="s">
        <v>508</v>
      </c>
      <c r="BL26" s="317">
        <v>255</v>
      </c>
      <c r="BM26" s="320" t="s">
        <v>509</v>
      </c>
      <c r="BN26" s="317">
        <v>292</v>
      </c>
      <c r="BO26" s="320" t="s">
        <v>510</v>
      </c>
      <c r="BP26" s="317">
        <v>352</v>
      </c>
      <c r="BQ26" s="320" t="s">
        <v>511</v>
      </c>
      <c r="BR26" s="317">
        <v>408</v>
      </c>
      <c r="BS26" s="320" t="s">
        <v>512</v>
      </c>
      <c r="BT26" s="317">
        <v>455</v>
      </c>
    </row>
    <row r="27" spans="1:72" ht="39" thickBot="1">
      <c r="B27" s="93" t="s">
        <v>513</v>
      </c>
      <c r="C27" s="324" t="s">
        <v>514</v>
      </c>
      <c r="D27" s="319">
        <v>776</v>
      </c>
      <c r="E27" s="308" t="s">
        <v>515</v>
      </c>
      <c r="F27" s="319">
        <v>644</v>
      </c>
      <c r="G27" s="308" t="s">
        <v>516</v>
      </c>
      <c r="H27" s="319">
        <v>675</v>
      </c>
      <c r="I27" s="308" t="s">
        <v>2109</v>
      </c>
      <c r="J27" s="319">
        <v>614</v>
      </c>
      <c r="K27" s="308" t="s">
        <v>1469</v>
      </c>
      <c r="L27" s="319">
        <v>515</v>
      </c>
      <c r="M27" s="308" t="s">
        <v>1355</v>
      </c>
      <c r="N27" s="319">
        <v>747</v>
      </c>
      <c r="O27" s="308" t="s">
        <v>517</v>
      </c>
      <c r="P27" s="319">
        <v>741</v>
      </c>
      <c r="Q27" s="308" t="s">
        <v>518</v>
      </c>
      <c r="R27" s="319">
        <v>645</v>
      </c>
      <c r="S27" s="308" t="s">
        <v>519</v>
      </c>
      <c r="T27" s="319">
        <v>621</v>
      </c>
      <c r="U27" s="308" t="s">
        <v>520</v>
      </c>
      <c r="V27" s="319">
        <v>567</v>
      </c>
      <c r="W27" s="308" t="s">
        <v>1423</v>
      </c>
      <c r="X27" s="319">
        <v>834</v>
      </c>
      <c r="Y27" s="308" t="s">
        <v>521</v>
      </c>
      <c r="Z27" s="319">
        <v>834</v>
      </c>
      <c r="AA27" s="308" t="s">
        <v>1732</v>
      </c>
      <c r="AB27" s="319">
        <v>512</v>
      </c>
      <c r="AC27" s="308" t="s">
        <v>779</v>
      </c>
      <c r="AD27" s="319">
        <v>510</v>
      </c>
      <c r="AE27" s="308" t="s">
        <v>1572</v>
      </c>
      <c r="AF27" s="444">
        <v>489</v>
      </c>
      <c r="AG27" s="308" t="s">
        <v>522</v>
      </c>
      <c r="AH27" s="319">
        <v>389</v>
      </c>
      <c r="AI27" s="308" t="s">
        <v>523</v>
      </c>
      <c r="AJ27" s="319">
        <v>362</v>
      </c>
      <c r="AK27" s="308" t="s">
        <v>524</v>
      </c>
      <c r="AL27" s="319">
        <v>353</v>
      </c>
      <c r="AM27" s="324" t="s">
        <v>525</v>
      </c>
      <c r="AN27" s="319">
        <v>531</v>
      </c>
      <c r="AO27" s="324" t="s">
        <v>526</v>
      </c>
      <c r="AP27" s="319">
        <v>459</v>
      </c>
      <c r="AQ27" s="324" t="s">
        <v>527</v>
      </c>
      <c r="AR27" s="319">
        <v>327</v>
      </c>
      <c r="AS27" s="324" t="s">
        <v>528</v>
      </c>
      <c r="AT27" s="319">
        <v>252</v>
      </c>
      <c r="AU27" s="324" t="s">
        <v>1388</v>
      </c>
      <c r="AV27" s="319">
        <v>373</v>
      </c>
      <c r="AW27" s="324" t="s">
        <v>529</v>
      </c>
      <c r="AX27" s="418">
        <v>237</v>
      </c>
      <c r="AY27" s="324" t="s">
        <v>530</v>
      </c>
      <c r="AZ27" s="418" t="s">
        <v>51</v>
      </c>
      <c r="BA27" s="324" t="s">
        <v>1966</v>
      </c>
      <c r="BB27" s="418" t="s">
        <v>51</v>
      </c>
      <c r="BC27" s="324" t="s">
        <v>1999</v>
      </c>
      <c r="BD27" s="418" t="s">
        <v>51</v>
      </c>
      <c r="BE27" s="308" t="s">
        <v>531</v>
      </c>
      <c r="BF27" s="319">
        <v>199</v>
      </c>
      <c r="BG27" s="324" t="s">
        <v>532</v>
      </c>
      <c r="BH27" s="319">
        <v>223</v>
      </c>
      <c r="BI27" s="324" t="s">
        <v>533</v>
      </c>
      <c r="BJ27" s="319">
        <v>241</v>
      </c>
      <c r="BK27" s="324" t="s">
        <v>534</v>
      </c>
      <c r="BL27" s="319">
        <v>255</v>
      </c>
      <c r="BM27" s="324" t="s">
        <v>535</v>
      </c>
      <c r="BN27" s="319">
        <v>292</v>
      </c>
      <c r="BO27" s="324" t="s">
        <v>536</v>
      </c>
      <c r="BP27" s="319">
        <v>352</v>
      </c>
      <c r="BQ27" s="324" t="s">
        <v>537</v>
      </c>
      <c r="BR27" s="319">
        <v>408</v>
      </c>
      <c r="BS27" s="324" t="s">
        <v>538</v>
      </c>
      <c r="BT27" s="319">
        <v>455</v>
      </c>
    </row>
    <row r="28" spans="1:72">
      <c r="B28" s="91" t="s">
        <v>61</v>
      </c>
      <c r="C28" s="320" t="s">
        <v>539</v>
      </c>
      <c r="D28" s="317">
        <v>852</v>
      </c>
      <c r="E28" s="302" t="s">
        <v>540</v>
      </c>
      <c r="F28" s="317">
        <v>709</v>
      </c>
      <c r="G28" s="302" t="s">
        <v>541</v>
      </c>
      <c r="H28" s="317">
        <v>744</v>
      </c>
      <c r="I28" s="302" t="s">
        <v>2110</v>
      </c>
      <c r="J28" s="317">
        <v>676</v>
      </c>
      <c r="K28" s="302" t="s">
        <v>1470</v>
      </c>
      <c r="L28" s="317">
        <v>578</v>
      </c>
      <c r="M28" s="302" t="s">
        <v>1356</v>
      </c>
      <c r="N28" s="317">
        <v>855</v>
      </c>
      <c r="O28" s="302" t="s">
        <v>542</v>
      </c>
      <c r="P28" s="317">
        <v>847</v>
      </c>
      <c r="Q28" s="302" t="s">
        <v>543</v>
      </c>
      <c r="R28" s="317">
        <v>711</v>
      </c>
      <c r="S28" s="302" t="s">
        <v>544</v>
      </c>
      <c r="T28" s="317">
        <v>684</v>
      </c>
      <c r="U28" s="302" t="s">
        <v>545</v>
      </c>
      <c r="V28" s="317">
        <v>628</v>
      </c>
      <c r="W28" s="302" t="s">
        <v>1424</v>
      </c>
      <c r="X28" s="317">
        <v>886</v>
      </c>
      <c r="Y28" s="302" t="s">
        <v>546</v>
      </c>
      <c r="Z28" s="317">
        <v>886</v>
      </c>
      <c r="AA28" s="302" t="s">
        <v>1733</v>
      </c>
      <c r="AB28" s="317">
        <v>574</v>
      </c>
      <c r="AC28" s="302" t="s">
        <v>780</v>
      </c>
      <c r="AD28" s="317">
        <v>570</v>
      </c>
      <c r="AE28" s="302" t="s">
        <v>1573</v>
      </c>
      <c r="AF28" s="438">
        <v>549</v>
      </c>
      <c r="AG28" s="302" t="s">
        <v>547</v>
      </c>
      <c r="AH28" s="317">
        <v>464</v>
      </c>
      <c r="AI28" s="302" t="s">
        <v>548</v>
      </c>
      <c r="AJ28" s="317">
        <v>445</v>
      </c>
      <c r="AK28" s="302" t="s">
        <v>549</v>
      </c>
      <c r="AL28" s="317" t="s">
        <v>51</v>
      </c>
      <c r="AM28" s="320" t="s">
        <v>550</v>
      </c>
      <c r="AN28" s="317" t="s">
        <v>51</v>
      </c>
      <c r="AO28" s="320" t="s">
        <v>551</v>
      </c>
      <c r="AP28" s="317" t="s">
        <v>51</v>
      </c>
      <c r="AQ28" s="320" t="s">
        <v>552</v>
      </c>
      <c r="AR28" s="317">
        <v>405</v>
      </c>
      <c r="AS28" s="320" t="s">
        <v>553</v>
      </c>
      <c r="AT28" s="317">
        <v>297</v>
      </c>
      <c r="AU28" s="320" t="s">
        <v>1389</v>
      </c>
      <c r="AV28" s="317" t="s">
        <v>51</v>
      </c>
      <c r="AW28" s="320" t="s">
        <v>554</v>
      </c>
      <c r="AX28" s="417"/>
      <c r="AY28" s="320" t="s">
        <v>555</v>
      </c>
      <c r="AZ28" s="417"/>
      <c r="BA28" s="320" t="s">
        <v>1967</v>
      </c>
      <c r="BB28" s="417"/>
      <c r="BC28" s="320" t="s">
        <v>2000</v>
      </c>
      <c r="BD28" s="417"/>
      <c r="BE28" s="302"/>
      <c r="BF28" s="439"/>
      <c r="BG28" s="320"/>
      <c r="BH28" s="439"/>
      <c r="BI28" s="320"/>
      <c r="BJ28" s="439"/>
      <c r="BK28" s="320"/>
      <c r="BL28" s="439"/>
      <c r="BM28" s="320"/>
      <c r="BN28" s="439"/>
      <c r="BO28" s="320"/>
      <c r="BP28" s="439"/>
      <c r="BQ28" s="320"/>
      <c r="BR28" s="439"/>
      <c r="BS28" s="320"/>
      <c r="BT28" s="440"/>
    </row>
    <row r="29" spans="1:72">
      <c r="B29" s="94" t="s">
        <v>62</v>
      </c>
      <c r="C29" s="321" t="s">
        <v>556</v>
      </c>
      <c r="D29" s="318">
        <v>918</v>
      </c>
      <c r="E29" s="303" t="s">
        <v>557</v>
      </c>
      <c r="F29" s="318">
        <v>767</v>
      </c>
      <c r="G29" s="303" t="s">
        <v>558</v>
      </c>
      <c r="H29" s="318">
        <v>802</v>
      </c>
      <c r="I29" s="303" t="s">
        <v>2111</v>
      </c>
      <c r="J29" s="318">
        <v>729</v>
      </c>
      <c r="K29" s="303" t="s">
        <v>1471</v>
      </c>
      <c r="L29" s="318">
        <v>626</v>
      </c>
      <c r="M29" s="303" t="s">
        <v>1357</v>
      </c>
      <c r="N29" s="318">
        <v>938</v>
      </c>
      <c r="O29" s="303" t="s">
        <v>559</v>
      </c>
      <c r="P29" s="318">
        <v>914</v>
      </c>
      <c r="Q29" s="303" t="s">
        <v>560</v>
      </c>
      <c r="R29" s="318">
        <v>769</v>
      </c>
      <c r="S29" s="303" t="s">
        <v>561</v>
      </c>
      <c r="T29" s="318">
        <v>741</v>
      </c>
      <c r="U29" s="303" t="s">
        <v>562</v>
      </c>
      <c r="V29" s="318">
        <v>680</v>
      </c>
      <c r="W29" s="303" t="s">
        <v>1425</v>
      </c>
      <c r="X29" s="318">
        <v>955</v>
      </c>
      <c r="Y29" s="303" t="s">
        <v>563</v>
      </c>
      <c r="Z29" s="318">
        <v>955</v>
      </c>
      <c r="AA29" s="303" t="s">
        <v>1734</v>
      </c>
      <c r="AB29" s="318">
        <v>621</v>
      </c>
      <c r="AC29" s="303" t="s">
        <v>781</v>
      </c>
      <c r="AD29" s="318">
        <v>618</v>
      </c>
      <c r="AE29" s="303" t="s">
        <v>1574</v>
      </c>
      <c r="AF29" s="441">
        <v>583</v>
      </c>
      <c r="AG29" s="303" t="s">
        <v>564</v>
      </c>
      <c r="AH29" s="318">
        <v>522</v>
      </c>
      <c r="AI29" s="303" t="s">
        <v>565</v>
      </c>
      <c r="AJ29" s="318">
        <v>484</v>
      </c>
      <c r="AK29" s="303" t="s">
        <v>566</v>
      </c>
      <c r="AL29" s="318" t="s">
        <v>51</v>
      </c>
      <c r="AM29" s="321" t="s">
        <v>567</v>
      </c>
      <c r="AN29" s="318" t="s">
        <v>51</v>
      </c>
      <c r="AO29" s="321" t="s">
        <v>568</v>
      </c>
      <c r="AP29" s="318" t="s">
        <v>51</v>
      </c>
      <c r="AQ29" s="321" t="s">
        <v>569</v>
      </c>
      <c r="AR29" s="318">
        <v>437</v>
      </c>
      <c r="AS29" s="321" t="s">
        <v>570</v>
      </c>
      <c r="AT29" s="318" t="s">
        <v>51</v>
      </c>
      <c r="AU29" s="321" t="s">
        <v>1390</v>
      </c>
      <c r="AV29" s="318" t="s">
        <v>51</v>
      </c>
      <c r="AW29" s="321" t="s">
        <v>571</v>
      </c>
      <c r="AX29" s="415"/>
      <c r="AY29" s="321" t="s">
        <v>572</v>
      </c>
      <c r="AZ29" s="415"/>
      <c r="BA29" s="321" t="s">
        <v>1968</v>
      </c>
      <c r="BB29" s="415"/>
      <c r="BC29" s="321" t="s">
        <v>2001</v>
      </c>
      <c r="BD29" s="415"/>
      <c r="BE29" s="303"/>
      <c r="BT29" s="442"/>
    </row>
    <row r="30" spans="1:72">
      <c r="B30" s="94" t="s">
        <v>63</v>
      </c>
      <c r="C30" s="321" t="s">
        <v>573</v>
      </c>
      <c r="D30" s="318">
        <v>872</v>
      </c>
      <c r="E30" s="303" t="s">
        <v>574</v>
      </c>
      <c r="F30" s="318">
        <v>725</v>
      </c>
      <c r="G30" s="303" t="s">
        <v>575</v>
      </c>
      <c r="H30" s="318">
        <v>762</v>
      </c>
      <c r="I30" s="303" t="s">
        <v>2112</v>
      </c>
      <c r="J30" s="318">
        <v>693</v>
      </c>
      <c r="K30" s="303" t="s">
        <v>1472</v>
      </c>
      <c r="L30" s="318">
        <v>592</v>
      </c>
      <c r="M30" s="303" t="s">
        <v>1358</v>
      </c>
      <c r="N30" s="318">
        <v>867</v>
      </c>
      <c r="O30" s="303" t="s">
        <v>576</v>
      </c>
      <c r="P30" s="318">
        <v>859</v>
      </c>
      <c r="Q30" s="303" t="s">
        <v>577</v>
      </c>
      <c r="R30" s="318" t="s">
        <v>51</v>
      </c>
      <c r="S30" s="303" t="s">
        <v>578</v>
      </c>
      <c r="T30" s="318">
        <v>701</v>
      </c>
      <c r="U30" s="303" t="s">
        <v>579</v>
      </c>
      <c r="V30" s="318">
        <v>643</v>
      </c>
      <c r="W30" s="303" t="s">
        <v>1426</v>
      </c>
      <c r="X30" s="318">
        <v>905</v>
      </c>
      <c r="Y30" s="303" t="s">
        <v>580</v>
      </c>
      <c r="Z30" s="318">
        <v>905</v>
      </c>
      <c r="AA30" s="303" t="s">
        <v>1735</v>
      </c>
      <c r="AB30" s="318">
        <v>588</v>
      </c>
      <c r="AC30" s="303" t="s">
        <v>782</v>
      </c>
      <c r="AD30" s="318">
        <v>581</v>
      </c>
      <c r="AE30" s="303" t="s">
        <v>1575</v>
      </c>
      <c r="AF30" s="441">
        <v>562</v>
      </c>
      <c r="AG30" s="303" t="s">
        <v>581</v>
      </c>
      <c r="AH30" s="318">
        <v>475</v>
      </c>
      <c r="AI30" s="303" t="s">
        <v>582</v>
      </c>
      <c r="AJ30" s="318">
        <v>462</v>
      </c>
      <c r="AK30" s="303" t="s">
        <v>583</v>
      </c>
      <c r="AL30" s="318" t="s">
        <v>51</v>
      </c>
      <c r="AM30" s="321" t="s">
        <v>584</v>
      </c>
      <c r="AN30" s="318" t="s">
        <v>51</v>
      </c>
      <c r="AO30" s="321" t="s">
        <v>585</v>
      </c>
      <c r="AP30" s="318" t="s">
        <v>51</v>
      </c>
      <c r="AQ30" s="321" t="s">
        <v>586</v>
      </c>
      <c r="AR30" s="318">
        <v>418</v>
      </c>
      <c r="AS30" s="321" t="s">
        <v>587</v>
      </c>
      <c r="AT30" s="318" t="s">
        <v>51</v>
      </c>
      <c r="AU30" s="321" t="s">
        <v>1391</v>
      </c>
      <c r="AV30" s="318" t="s">
        <v>51</v>
      </c>
      <c r="AW30" s="321" t="s">
        <v>588</v>
      </c>
      <c r="AX30" s="415"/>
      <c r="AY30" s="321" t="s">
        <v>589</v>
      </c>
      <c r="AZ30" s="415"/>
      <c r="BA30" s="321" t="s">
        <v>1969</v>
      </c>
      <c r="BB30" s="415"/>
      <c r="BC30" s="321" t="s">
        <v>2002</v>
      </c>
      <c r="BD30" s="415"/>
      <c r="BE30" s="303"/>
      <c r="BT30" s="442"/>
    </row>
    <row r="31" spans="1:72">
      <c r="B31" s="92" t="s">
        <v>590</v>
      </c>
      <c r="C31" s="321" t="s">
        <v>591</v>
      </c>
      <c r="D31" s="318">
        <v>872</v>
      </c>
      <c r="E31" s="303" t="s">
        <v>592</v>
      </c>
      <c r="F31" s="318">
        <v>725</v>
      </c>
      <c r="G31" s="303" t="s">
        <v>593</v>
      </c>
      <c r="H31" s="318">
        <v>762</v>
      </c>
      <c r="I31" s="303" t="s">
        <v>2113</v>
      </c>
      <c r="J31" s="318">
        <v>693</v>
      </c>
      <c r="K31" s="303"/>
      <c r="L31" s="318" t="s">
        <v>51</v>
      </c>
      <c r="M31" s="303" t="s">
        <v>1359</v>
      </c>
      <c r="N31" s="318">
        <v>867</v>
      </c>
      <c r="O31" s="303" t="s">
        <v>594</v>
      </c>
      <c r="P31" s="318">
        <v>859</v>
      </c>
      <c r="Q31" s="303" t="s">
        <v>595</v>
      </c>
      <c r="R31" s="318">
        <v>726</v>
      </c>
      <c r="S31" s="303" t="s">
        <v>596</v>
      </c>
      <c r="T31" s="318">
        <v>701</v>
      </c>
      <c r="U31" s="303" t="s">
        <v>597</v>
      </c>
      <c r="V31" s="318">
        <v>643</v>
      </c>
      <c r="W31" s="303" t="s">
        <v>1427</v>
      </c>
      <c r="X31" s="318">
        <v>905</v>
      </c>
      <c r="Y31" s="303" t="s">
        <v>598</v>
      </c>
      <c r="Z31" s="318">
        <v>905</v>
      </c>
      <c r="AA31" s="303" t="s">
        <v>1736</v>
      </c>
      <c r="AB31" s="318">
        <v>588</v>
      </c>
      <c r="AC31" s="303" t="s">
        <v>783</v>
      </c>
      <c r="AD31" s="318">
        <v>581</v>
      </c>
      <c r="AE31" s="303" t="s">
        <v>1576</v>
      </c>
      <c r="AF31" s="441">
        <v>562</v>
      </c>
      <c r="AG31" s="303" t="s">
        <v>599</v>
      </c>
      <c r="AH31" s="318">
        <v>475</v>
      </c>
      <c r="AI31" s="303" t="s">
        <v>600</v>
      </c>
      <c r="AJ31" s="318">
        <v>462</v>
      </c>
      <c r="AK31" s="303" t="s">
        <v>601</v>
      </c>
      <c r="AL31" s="318" t="s">
        <v>51</v>
      </c>
      <c r="AM31" s="321" t="s">
        <v>602</v>
      </c>
      <c r="AN31" s="318" t="s">
        <v>51</v>
      </c>
      <c r="AO31" s="321" t="s">
        <v>603</v>
      </c>
      <c r="AP31" s="318" t="s">
        <v>51</v>
      </c>
      <c r="AQ31" s="321" t="s">
        <v>604</v>
      </c>
      <c r="AR31" s="318">
        <v>418</v>
      </c>
      <c r="AS31" s="321" t="s">
        <v>605</v>
      </c>
      <c r="AT31" s="318" t="s">
        <v>51</v>
      </c>
      <c r="AU31" s="321" t="s">
        <v>1392</v>
      </c>
      <c r="AV31" s="318" t="s">
        <v>51</v>
      </c>
      <c r="AW31" s="321" t="s">
        <v>606</v>
      </c>
      <c r="AX31" s="415"/>
      <c r="AY31" s="321" t="s">
        <v>607</v>
      </c>
      <c r="AZ31" s="415"/>
      <c r="BA31" s="321" t="s">
        <v>1970</v>
      </c>
      <c r="BB31" s="415"/>
      <c r="BC31" s="321" t="s">
        <v>2003</v>
      </c>
      <c r="BD31" s="415"/>
      <c r="BE31" s="303"/>
      <c r="BT31" s="442"/>
    </row>
    <row r="32" spans="1:72">
      <c r="B32" s="92" t="s">
        <v>132</v>
      </c>
      <c r="C32" s="321" t="s">
        <v>608</v>
      </c>
      <c r="D32" s="318">
        <v>872</v>
      </c>
      <c r="E32" s="303" t="s">
        <v>609</v>
      </c>
      <c r="F32" s="318">
        <v>725</v>
      </c>
      <c r="G32" s="303" t="s">
        <v>610</v>
      </c>
      <c r="H32" s="318">
        <v>762</v>
      </c>
      <c r="I32" s="303" t="s">
        <v>2114</v>
      </c>
      <c r="J32" s="318">
        <v>693</v>
      </c>
      <c r="K32" s="303" t="s">
        <v>1473</v>
      </c>
      <c r="L32" s="318">
        <v>592</v>
      </c>
      <c r="M32" s="303" t="s">
        <v>1360</v>
      </c>
      <c r="N32" s="318">
        <v>867</v>
      </c>
      <c r="O32" s="303" t="s">
        <v>611</v>
      </c>
      <c r="P32" s="318">
        <v>859</v>
      </c>
      <c r="Q32" s="303" t="s">
        <v>612</v>
      </c>
      <c r="R32" s="318">
        <v>726</v>
      </c>
      <c r="S32" s="303" t="s">
        <v>613</v>
      </c>
      <c r="T32" s="318">
        <v>701</v>
      </c>
      <c r="U32" s="303" t="s">
        <v>614</v>
      </c>
      <c r="V32" s="318">
        <v>643</v>
      </c>
      <c r="W32" s="303" t="s">
        <v>1428</v>
      </c>
      <c r="X32" s="318">
        <v>905</v>
      </c>
      <c r="Y32" s="303" t="s">
        <v>615</v>
      </c>
      <c r="Z32" s="318">
        <v>905</v>
      </c>
      <c r="AA32" s="303" t="s">
        <v>1737</v>
      </c>
      <c r="AB32" s="318">
        <v>588</v>
      </c>
      <c r="AC32" s="303" t="s">
        <v>784</v>
      </c>
      <c r="AD32" s="318">
        <v>581</v>
      </c>
      <c r="AE32" s="303" t="s">
        <v>1577</v>
      </c>
      <c r="AF32" s="441">
        <v>562</v>
      </c>
      <c r="AG32" s="303" t="s">
        <v>616</v>
      </c>
      <c r="AH32" s="318">
        <v>475</v>
      </c>
      <c r="AI32" s="303" t="s">
        <v>617</v>
      </c>
      <c r="AJ32" s="318">
        <v>462</v>
      </c>
      <c r="AK32" s="303" t="s">
        <v>618</v>
      </c>
      <c r="AL32" s="318" t="s">
        <v>51</v>
      </c>
      <c r="AM32" s="303" t="s">
        <v>619</v>
      </c>
      <c r="AN32" s="318" t="s">
        <v>51</v>
      </c>
      <c r="AO32" s="303" t="s">
        <v>620</v>
      </c>
      <c r="AP32" s="318" t="s">
        <v>51</v>
      </c>
      <c r="AQ32" s="303" t="s">
        <v>621</v>
      </c>
      <c r="AR32" s="318">
        <v>418</v>
      </c>
      <c r="AS32" s="303" t="s">
        <v>622</v>
      </c>
      <c r="AT32" s="318" t="s">
        <v>51</v>
      </c>
      <c r="AU32" s="303" t="s">
        <v>1393</v>
      </c>
      <c r="AV32" s="318" t="s">
        <v>51</v>
      </c>
      <c r="AW32" s="303" t="s">
        <v>623</v>
      </c>
      <c r="AX32" s="415"/>
      <c r="AY32" s="303" t="s">
        <v>624</v>
      </c>
      <c r="AZ32" s="415"/>
      <c r="BA32" s="303" t="s">
        <v>1971</v>
      </c>
      <c r="BB32" s="415"/>
      <c r="BC32" s="303" t="s">
        <v>2004</v>
      </c>
      <c r="BD32" s="415"/>
      <c r="BE32" s="303"/>
      <c r="BT32" s="442"/>
    </row>
    <row r="33" spans="2:74">
      <c r="B33" s="92" t="s">
        <v>808</v>
      </c>
      <c r="C33" s="321" t="s">
        <v>809</v>
      </c>
      <c r="D33" s="318" t="s">
        <v>51</v>
      </c>
      <c r="E33" s="303" t="s">
        <v>810</v>
      </c>
      <c r="F33" s="318">
        <v>732</v>
      </c>
      <c r="G33" s="303" t="s">
        <v>811</v>
      </c>
      <c r="H33" s="318" t="s">
        <v>51</v>
      </c>
      <c r="I33" s="303" t="s">
        <v>2115</v>
      </c>
      <c r="J33" s="318" t="s">
        <v>51</v>
      </c>
      <c r="K33" s="303"/>
      <c r="L33" s="318"/>
      <c r="M33" s="303" t="s">
        <v>1361</v>
      </c>
      <c r="N33" s="318" t="s">
        <v>51</v>
      </c>
      <c r="O33" s="303" t="s">
        <v>812</v>
      </c>
      <c r="P33" s="318">
        <v>871</v>
      </c>
      <c r="Q33" s="303" t="s">
        <v>813</v>
      </c>
      <c r="R33" s="318">
        <v>736</v>
      </c>
      <c r="S33" s="303" t="s">
        <v>814</v>
      </c>
      <c r="T33" s="318">
        <v>710</v>
      </c>
      <c r="U33" s="303" t="s">
        <v>815</v>
      </c>
      <c r="V33" s="318">
        <v>653</v>
      </c>
      <c r="W33" s="303" t="s">
        <v>1429</v>
      </c>
      <c r="X33" s="318">
        <v>916</v>
      </c>
      <c r="Y33" s="303" t="s">
        <v>816</v>
      </c>
      <c r="Z33" s="318">
        <v>916</v>
      </c>
      <c r="AA33" s="303" t="s">
        <v>1738</v>
      </c>
      <c r="AB33" s="318" t="s">
        <v>51</v>
      </c>
      <c r="AC33" s="303" t="s">
        <v>817</v>
      </c>
      <c r="AD33" s="318"/>
      <c r="AE33" s="303" t="s">
        <v>1578</v>
      </c>
      <c r="AF33" s="441" t="s">
        <v>51</v>
      </c>
      <c r="AG33" s="303" t="s">
        <v>818</v>
      </c>
      <c r="AH33" s="318" t="s">
        <v>51</v>
      </c>
      <c r="AI33" s="303" t="s">
        <v>819</v>
      </c>
      <c r="AJ33" s="318" t="s">
        <v>51</v>
      </c>
      <c r="AK33" s="303"/>
      <c r="AL33" s="318"/>
      <c r="AN33" s="318"/>
      <c r="AP33" s="318"/>
      <c r="AQ33" s="321" t="s">
        <v>848</v>
      </c>
      <c r="AR33" s="318" t="s">
        <v>51</v>
      </c>
      <c r="AT33" s="318"/>
      <c r="AU33" s="321" t="s">
        <v>1394</v>
      </c>
      <c r="AV33" s="318"/>
      <c r="AX33" s="415"/>
      <c r="AZ33" s="415"/>
      <c r="BA33" s="321"/>
      <c r="BB33" s="415"/>
      <c r="BC33" s="321"/>
      <c r="BD33" s="415"/>
      <c r="BE33" s="303"/>
      <c r="BT33" s="442"/>
    </row>
    <row r="34" spans="2:74" ht="15.75" thickBot="1">
      <c r="B34" s="92" t="s">
        <v>1447</v>
      </c>
      <c r="D34" s="318" t="s">
        <v>51</v>
      </c>
      <c r="E34" s="303"/>
      <c r="F34" s="318">
        <v>656</v>
      </c>
      <c r="G34" s="303"/>
      <c r="H34" s="318"/>
      <c r="I34" s="303"/>
      <c r="J34" s="318"/>
      <c r="K34" s="303"/>
      <c r="L34" s="318"/>
      <c r="M34" s="303"/>
      <c r="N34" s="318"/>
      <c r="O34" s="303"/>
      <c r="P34" s="318">
        <v>852</v>
      </c>
      <c r="Q34" s="303"/>
      <c r="R34" s="318">
        <v>715</v>
      </c>
      <c r="S34" s="303"/>
      <c r="T34" s="318">
        <v>699</v>
      </c>
      <c r="U34" s="303"/>
      <c r="V34" s="318">
        <v>640</v>
      </c>
      <c r="W34" s="303"/>
      <c r="X34" s="318"/>
      <c r="Y34" s="303"/>
      <c r="Z34" s="318"/>
      <c r="AA34" s="303"/>
      <c r="AB34" s="318" t="s">
        <v>51</v>
      </c>
      <c r="AC34" s="303"/>
      <c r="AD34" s="318"/>
      <c r="AE34" s="303"/>
      <c r="AF34" s="441" t="s">
        <v>51</v>
      </c>
      <c r="AG34" s="303"/>
      <c r="AH34" s="318"/>
      <c r="AI34" s="303"/>
      <c r="AJ34" s="318"/>
      <c r="AK34" s="303"/>
      <c r="AL34" s="318"/>
      <c r="AN34" s="318"/>
      <c r="AP34" s="318"/>
      <c r="AR34" s="318"/>
      <c r="AT34" s="318"/>
      <c r="AV34" s="318"/>
      <c r="AX34" s="415"/>
      <c r="AZ34" s="415"/>
      <c r="BA34" s="321"/>
      <c r="BB34" s="415"/>
      <c r="BC34" s="321"/>
      <c r="BD34" s="415"/>
      <c r="BE34" s="303"/>
      <c r="BT34" s="442"/>
    </row>
    <row r="35" spans="2:74">
      <c r="B35" s="91" t="s">
        <v>65</v>
      </c>
      <c r="C35" s="320" t="s">
        <v>625</v>
      </c>
      <c r="D35" s="317">
        <v>122</v>
      </c>
      <c r="E35" s="302" t="s">
        <v>626</v>
      </c>
      <c r="F35" s="317">
        <v>94</v>
      </c>
      <c r="G35" s="302" t="s">
        <v>627</v>
      </c>
      <c r="H35" s="317">
        <v>120</v>
      </c>
      <c r="I35" s="302" t="s">
        <v>2116</v>
      </c>
      <c r="J35" s="317">
        <v>109</v>
      </c>
      <c r="K35" s="302" t="s">
        <v>1474</v>
      </c>
      <c r="L35" s="317">
        <v>83</v>
      </c>
      <c r="M35" s="302" t="s">
        <v>1362</v>
      </c>
      <c r="N35" s="317">
        <v>125</v>
      </c>
      <c r="O35" s="302" t="s">
        <v>628</v>
      </c>
      <c r="P35" s="317">
        <v>123</v>
      </c>
      <c r="Q35" s="302" t="s">
        <v>629</v>
      </c>
      <c r="R35" s="317">
        <v>120</v>
      </c>
      <c r="S35" s="302" t="s">
        <v>630</v>
      </c>
      <c r="T35" s="317">
        <v>115</v>
      </c>
      <c r="U35" s="302" t="s">
        <v>631</v>
      </c>
      <c r="V35" s="317">
        <v>101</v>
      </c>
      <c r="W35" s="302" t="s">
        <v>1430</v>
      </c>
      <c r="X35" s="317">
        <v>151</v>
      </c>
      <c r="Y35" s="302" t="s">
        <v>632</v>
      </c>
      <c r="Z35" s="317">
        <v>151</v>
      </c>
      <c r="AA35" s="302" t="s">
        <v>1739</v>
      </c>
      <c r="AB35" s="317">
        <v>104</v>
      </c>
      <c r="AC35" s="302" t="s">
        <v>785</v>
      </c>
      <c r="AD35" s="317">
        <v>103</v>
      </c>
      <c r="AE35" s="302" t="s">
        <v>1579</v>
      </c>
      <c r="AF35" s="438">
        <v>94</v>
      </c>
      <c r="AG35" s="302" t="s">
        <v>633</v>
      </c>
      <c r="AH35" s="317">
        <v>79</v>
      </c>
      <c r="AI35" s="302" t="s">
        <v>634</v>
      </c>
      <c r="AJ35" s="317">
        <v>67</v>
      </c>
      <c r="AK35" s="302" t="s">
        <v>635</v>
      </c>
      <c r="AL35" s="317">
        <v>64</v>
      </c>
      <c r="AM35" s="320" t="s">
        <v>636</v>
      </c>
      <c r="AN35" s="317" t="s">
        <v>51</v>
      </c>
      <c r="AO35" s="320" t="s">
        <v>637</v>
      </c>
      <c r="AP35" s="317" t="s">
        <v>51</v>
      </c>
      <c r="AQ35" s="320" t="s">
        <v>638</v>
      </c>
      <c r="AR35" s="317">
        <v>57</v>
      </c>
      <c r="AS35" s="320" t="s">
        <v>639</v>
      </c>
      <c r="AT35" s="317">
        <v>48</v>
      </c>
      <c r="AU35" s="320" t="s">
        <v>1395</v>
      </c>
      <c r="AV35" s="317">
        <v>78</v>
      </c>
      <c r="AW35" s="320" t="s">
        <v>640</v>
      </c>
      <c r="AX35" s="417"/>
      <c r="AY35" s="320" t="s">
        <v>641</v>
      </c>
      <c r="AZ35" s="417"/>
      <c r="BA35" s="320" t="s">
        <v>1972</v>
      </c>
      <c r="BB35" s="417"/>
      <c r="BC35" s="320" t="s">
        <v>2005</v>
      </c>
      <c r="BD35" s="417"/>
      <c r="BE35" s="302"/>
      <c r="BF35" s="439"/>
      <c r="BG35" s="320"/>
      <c r="BH35" s="439"/>
      <c r="BI35" s="320"/>
      <c r="BJ35" s="439"/>
      <c r="BK35" s="320"/>
      <c r="BL35" s="439"/>
      <c r="BM35" s="320"/>
      <c r="BN35" s="439"/>
      <c r="BO35" s="320"/>
      <c r="BP35" s="439"/>
      <c r="BQ35" s="320"/>
      <c r="BR35" s="439"/>
      <c r="BS35" s="320"/>
      <c r="BT35" s="440"/>
    </row>
    <row r="36" spans="2:74">
      <c r="B36" s="92" t="s">
        <v>66</v>
      </c>
      <c r="C36" s="321" t="s">
        <v>642</v>
      </c>
      <c r="D36" s="318">
        <v>126</v>
      </c>
      <c r="E36" s="303" t="s">
        <v>643</v>
      </c>
      <c r="F36" s="318">
        <v>98</v>
      </c>
      <c r="G36" s="303" t="s">
        <v>644</v>
      </c>
      <c r="H36" s="318">
        <v>124</v>
      </c>
      <c r="I36" s="303" t="s">
        <v>2117</v>
      </c>
      <c r="J36" s="318">
        <v>113</v>
      </c>
      <c r="K36" s="303" t="s">
        <v>1475</v>
      </c>
      <c r="L36" s="318">
        <v>87</v>
      </c>
      <c r="M36" s="303" t="s">
        <v>1363</v>
      </c>
      <c r="N36" s="318">
        <v>130</v>
      </c>
      <c r="O36" s="303" t="s">
        <v>645</v>
      </c>
      <c r="P36" s="318">
        <v>128</v>
      </c>
      <c r="Q36" s="303" t="s">
        <v>646</v>
      </c>
      <c r="R36" s="318">
        <v>125</v>
      </c>
      <c r="S36" s="303" t="s">
        <v>647</v>
      </c>
      <c r="T36" s="318">
        <v>120</v>
      </c>
      <c r="U36" s="303" t="s">
        <v>648</v>
      </c>
      <c r="V36" s="318">
        <v>106</v>
      </c>
      <c r="W36" s="303" t="s">
        <v>1431</v>
      </c>
      <c r="X36" s="318">
        <v>155</v>
      </c>
      <c r="Y36" s="303" t="s">
        <v>649</v>
      </c>
      <c r="Z36" s="318">
        <v>155</v>
      </c>
      <c r="AA36" s="303" t="s">
        <v>1740</v>
      </c>
      <c r="AB36" s="318">
        <v>108</v>
      </c>
      <c r="AC36" s="303" t="s">
        <v>786</v>
      </c>
      <c r="AD36" s="318">
        <v>107</v>
      </c>
      <c r="AE36" s="303" t="s">
        <v>1580</v>
      </c>
      <c r="AF36" s="441">
        <v>98</v>
      </c>
      <c r="AG36" s="303" t="s">
        <v>650</v>
      </c>
      <c r="AH36" s="318">
        <v>83</v>
      </c>
      <c r="AI36" s="303" t="s">
        <v>651</v>
      </c>
      <c r="AJ36" s="318">
        <v>71</v>
      </c>
      <c r="AK36" s="303" t="s">
        <v>652</v>
      </c>
      <c r="AL36" s="318">
        <v>68</v>
      </c>
      <c r="AM36" s="321" t="s">
        <v>653</v>
      </c>
      <c r="AN36" s="318" t="s">
        <v>51</v>
      </c>
      <c r="AO36" s="321" t="s">
        <v>654</v>
      </c>
      <c r="AP36" s="318" t="s">
        <v>51</v>
      </c>
      <c r="AQ36" s="321" t="s">
        <v>655</v>
      </c>
      <c r="AR36" s="318">
        <v>61</v>
      </c>
      <c r="AS36" s="321" t="s">
        <v>656</v>
      </c>
      <c r="AT36" s="318">
        <v>52</v>
      </c>
      <c r="AU36" s="321" t="s">
        <v>1396</v>
      </c>
      <c r="AV36" s="318">
        <v>82</v>
      </c>
      <c r="AW36" s="321" t="s">
        <v>657</v>
      </c>
      <c r="AX36" s="415"/>
      <c r="AY36" s="321" t="s">
        <v>658</v>
      </c>
      <c r="AZ36" s="415"/>
      <c r="BA36" s="321" t="s">
        <v>1973</v>
      </c>
      <c r="BB36" s="415"/>
      <c r="BC36" s="321" t="s">
        <v>2006</v>
      </c>
      <c r="BD36" s="415"/>
      <c r="BE36" s="303"/>
      <c r="BT36" s="442"/>
    </row>
    <row r="37" spans="2:74">
      <c r="B37" s="403" t="s">
        <v>1844</v>
      </c>
      <c r="C37" s="321" t="s">
        <v>1846</v>
      </c>
      <c r="D37" s="318">
        <v>127</v>
      </c>
      <c r="E37" s="303" t="s">
        <v>1847</v>
      </c>
      <c r="F37" s="318">
        <v>99</v>
      </c>
      <c r="G37" s="303" t="s">
        <v>1848</v>
      </c>
      <c r="H37" s="318">
        <v>125</v>
      </c>
      <c r="I37" s="303" t="s">
        <v>2118</v>
      </c>
      <c r="J37" s="318">
        <v>114</v>
      </c>
      <c r="K37" s="303" t="s">
        <v>1890</v>
      </c>
      <c r="L37" s="318">
        <v>88</v>
      </c>
      <c r="M37" s="303" t="s">
        <v>1886</v>
      </c>
      <c r="N37" s="318">
        <v>131</v>
      </c>
      <c r="O37" s="303" t="s">
        <v>1888</v>
      </c>
      <c r="P37" s="318">
        <v>129</v>
      </c>
      <c r="Q37" s="303" t="s">
        <v>1849</v>
      </c>
      <c r="R37" s="318">
        <v>126</v>
      </c>
      <c r="S37" s="303" t="s">
        <v>1850</v>
      </c>
      <c r="T37" s="318">
        <v>121</v>
      </c>
      <c r="U37" s="303" t="s">
        <v>1851</v>
      </c>
      <c r="V37" s="318">
        <v>107</v>
      </c>
      <c r="W37" s="303" t="s">
        <v>1852</v>
      </c>
      <c r="X37" s="318">
        <v>156</v>
      </c>
      <c r="Y37" s="303" t="s">
        <v>1853</v>
      </c>
      <c r="Z37" s="318">
        <v>156</v>
      </c>
      <c r="AA37" s="303" t="s">
        <v>1854</v>
      </c>
      <c r="AB37" s="318">
        <v>109</v>
      </c>
      <c r="AC37" s="303" t="s">
        <v>1855</v>
      </c>
      <c r="AD37" s="318">
        <v>108</v>
      </c>
      <c r="AE37" s="303" t="s">
        <v>1856</v>
      </c>
      <c r="AF37" s="441">
        <v>99</v>
      </c>
      <c r="AG37" s="303" t="s">
        <v>1857</v>
      </c>
      <c r="AH37" s="318">
        <v>84</v>
      </c>
      <c r="AI37" s="303" t="s">
        <v>1858</v>
      </c>
      <c r="AJ37" s="318">
        <v>72</v>
      </c>
      <c r="AK37" s="303" t="s">
        <v>1859</v>
      </c>
      <c r="AL37" s="318">
        <v>69</v>
      </c>
      <c r="AM37" s="321" t="s">
        <v>1860</v>
      </c>
      <c r="AN37" s="318"/>
      <c r="AO37" s="321" t="s">
        <v>1861</v>
      </c>
      <c r="AP37" s="318"/>
      <c r="AQ37" s="321" t="s">
        <v>1862</v>
      </c>
      <c r="AR37" s="318">
        <v>62</v>
      </c>
      <c r="AS37" s="321" t="s">
        <v>1863</v>
      </c>
      <c r="AT37" s="318" t="s">
        <v>51</v>
      </c>
      <c r="AU37" s="321" t="s">
        <v>1864</v>
      </c>
      <c r="AV37" s="318">
        <v>83</v>
      </c>
      <c r="AW37" s="321" t="s">
        <v>1892</v>
      </c>
      <c r="AX37" s="415"/>
      <c r="AY37" s="321" t="s">
        <v>1865</v>
      </c>
      <c r="AZ37" s="415"/>
      <c r="BA37" s="321" t="s">
        <v>1974</v>
      </c>
      <c r="BB37" s="415"/>
      <c r="BC37" s="321" t="s">
        <v>2007</v>
      </c>
      <c r="BD37" s="415"/>
      <c r="BE37" s="303"/>
      <c r="BT37" s="442"/>
    </row>
    <row r="38" spans="2:74">
      <c r="B38" s="403" t="s">
        <v>1845</v>
      </c>
      <c r="C38" s="321" t="s">
        <v>1866</v>
      </c>
      <c r="D38" s="318">
        <v>131</v>
      </c>
      <c r="E38" s="303" t="s">
        <v>1867</v>
      </c>
      <c r="F38" s="318">
        <v>103</v>
      </c>
      <c r="G38" s="303" t="s">
        <v>1868</v>
      </c>
      <c r="H38" s="318">
        <v>129</v>
      </c>
      <c r="I38" s="303" t="s">
        <v>2119</v>
      </c>
      <c r="J38" s="318">
        <v>118</v>
      </c>
      <c r="K38" s="303" t="s">
        <v>1891</v>
      </c>
      <c r="L38" s="318">
        <v>92</v>
      </c>
      <c r="M38" s="303" t="s">
        <v>1887</v>
      </c>
      <c r="N38" s="318">
        <v>136</v>
      </c>
      <c r="O38" s="303" t="s">
        <v>1889</v>
      </c>
      <c r="P38" s="318">
        <v>134</v>
      </c>
      <c r="Q38" s="303" t="s">
        <v>1869</v>
      </c>
      <c r="R38" s="318">
        <v>131</v>
      </c>
      <c r="S38" s="303" t="s">
        <v>1870</v>
      </c>
      <c r="T38" s="318">
        <v>126</v>
      </c>
      <c r="U38" s="303" t="s">
        <v>1871</v>
      </c>
      <c r="V38" s="318">
        <v>112</v>
      </c>
      <c r="W38" s="303" t="s">
        <v>1872</v>
      </c>
      <c r="X38" s="318">
        <v>160</v>
      </c>
      <c r="Y38" s="303" t="s">
        <v>1873</v>
      </c>
      <c r="Z38" s="318">
        <v>160</v>
      </c>
      <c r="AA38" s="303" t="s">
        <v>1874</v>
      </c>
      <c r="AB38" s="318">
        <v>113</v>
      </c>
      <c r="AC38" s="303" t="s">
        <v>1875</v>
      </c>
      <c r="AD38" s="318">
        <v>112</v>
      </c>
      <c r="AE38" s="303" t="s">
        <v>1876</v>
      </c>
      <c r="AF38" s="441">
        <v>103</v>
      </c>
      <c r="AG38" s="303" t="s">
        <v>1877</v>
      </c>
      <c r="AH38" s="318">
        <v>88</v>
      </c>
      <c r="AI38" s="303" t="s">
        <v>1878</v>
      </c>
      <c r="AJ38" s="318">
        <v>76</v>
      </c>
      <c r="AK38" s="303" t="s">
        <v>1879</v>
      </c>
      <c r="AL38" s="318">
        <v>73</v>
      </c>
      <c r="AM38" s="321" t="s">
        <v>1880</v>
      </c>
      <c r="AN38" s="318"/>
      <c r="AO38" s="321" t="s">
        <v>1881</v>
      </c>
      <c r="AP38" s="318"/>
      <c r="AQ38" s="321" t="s">
        <v>1882</v>
      </c>
      <c r="AR38" s="318">
        <v>66</v>
      </c>
      <c r="AS38" s="321" t="s">
        <v>1883</v>
      </c>
      <c r="AT38" s="318" t="s">
        <v>51</v>
      </c>
      <c r="AU38" s="321" t="s">
        <v>1884</v>
      </c>
      <c r="AV38" s="318">
        <v>87</v>
      </c>
      <c r="AW38" s="321" t="s">
        <v>1893</v>
      </c>
      <c r="AX38" s="415"/>
      <c r="AY38" s="321" t="s">
        <v>1885</v>
      </c>
      <c r="AZ38" s="415"/>
      <c r="BA38" s="321" t="s">
        <v>1975</v>
      </c>
      <c r="BB38" s="415"/>
      <c r="BC38" s="321" t="s">
        <v>2008</v>
      </c>
      <c r="BD38" s="415"/>
      <c r="BE38" s="303"/>
      <c r="BT38" s="442"/>
      <c r="BU38" s="416"/>
      <c r="BV38" s="416"/>
    </row>
    <row r="39" spans="2:74">
      <c r="B39" s="403" t="s">
        <v>2021</v>
      </c>
      <c r="C39" s="321" t="s">
        <v>2023</v>
      </c>
      <c r="D39" s="318">
        <v>137</v>
      </c>
      <c r="E39" s="303" t="s">
        <v>2024</v>
      </c>
      <c r="F39" s="318">
        <v>108</v>
      </c>
      <c r="G39" s="303" t="s">
        <v>2025</v>
      </c>
      <c r="H39" s="318">
        <v>134</v>
      </c>
      <c r="I39" s="303" t="s">
        <v>2120</v>
      </c>
      <c r="J39" s="318">
        <v>123</v>
      </c>
      <c r="K39" s="303" t="s">
        <v>2026</v>
      </c>
      <c r="L39" s="318">
        <v>97</v>
      </c>
      <c r="M39" s="303" t="s">
        <v>2027</v>
      </c>
      <c r="N39" s="318">
        <v>146</v>
      </c>
      <c r="O39" s="303" t="s">
        <v>2028</v>
      </c>
      <c r="P39" s="318">
        <v>144</v>
      </c>
      <c r="Q39" s="303" t="s">
        <v>2029</v>
      </c>
      <c r="R39" s="318">
        <v>141</v>
      </c>
      <c r="S39" s="303" t="s">
        <v>2030</v>
      </c>
      <c r="T39" s="318">
        <v>138</v>
      </c>
      <c r="U39" s="303" t="s">
        <v>2031</v>
      </c>
      <c r="V39" s="318">
        <v>122</v>
      </c>
      <c r="W39" s="303" t="s">
        <v>2032</v>
      </c>
      <c r="X39" s="318">
        <v>170</v>
      </c>
      <c r="Y39" s="303" t="s">
        <v>2033</v>
      </c>
      <c r="Z39" s="318">
        <v>170</v>
      </c>
      <c r="AA39" s="303" t="s">
        <v>2034</v>
      </c>
      <c r="AB39" s="318">
        <v>123</v>
      </c>
      <c r="AC39" s="303" t="s">
        <v>2035</v>
      </c>
      <c r="AD39" s="318">
        <v>122</v>
      </c>
      <c r="AE39" s="303" t="s">
        <v>2036</v>
      </c>
      <c r="AF39" s="441">
        <v>112</v>
      </c>
      <c r="AG39" s="303" t="s">
        <v>2037</v>
      </c>
      <c r="AH39" s="318">
        <v>93</v>
      </c>
      <c r="AI39" s="303" t="s">
        <v>2038</v>
      </c>
      <c r="AJ39" s="318">
        <v>81</v>
      </c>
      <c r="AK39" s="303" t="s">
        <v>2039</v>
      </c>
      <c r="AL39" s="318">
        <v>77</v>
      </c>
      <c r="AM39" s="321" t="s">
        <v>2040</v>
      </c>
      <c r="AN39" s="318"/>
      <c r="AO39" s="321" t="s">
        <v>2041</v>
      </c>
      <c r="AP39" s="318"/>
      <c r="AQ39" s="321" t="s">
        <v>2042</v>
      </c>
      <c r="AR39" s="318">
        <v>70</v>
      </c>
      <c r="AS39" s="321" t="s">
        <v>2043</v>
      </c>
      <c r="AT39" s="318">
        <v>62</v>
      </c>
      <c r="AU39" s="321" t="s">
        <v>2044</v>
      </c>
      <c r="AV39" s="318">
        <v>92</v>
      </c>
      <c r="AW39" s="321" t="s">
        <v>2045</v>
      </c>
      <c r="AX39" s="415"/>
      <c r="AY39" s="321" t="s">
        <v>2046</v>
      </c>
      <c r="AZ39" s="415"/>
      <c r="BA39" s="321" t="s">
        <v>2047</v>
      </c>
      <c r="BB39" s="415"/>
      <c r="BC39" s="321" t="s">
        <v>2048</v>
      </c>
      <c r="BD39" s="415"/>
      <c r="BE39" s="303"/>
      <c r="BT39" s="442"/>
    </row>
    <row r="40" spans="2:74">
      <c r="B40" s="403" t="s">
        <v>2022</v>
      </c>
      <c r="C40" s="321" t="s">
        <v>2049</v>
      </c>
      <c r="D40" s="318">
        <v>141</v>
      </c>
      <c r="E40" s="303" t="s">
        <v>2050</v>
      </c>
      <c r="F40" s="318">
        <v>112</v>
      </c>
      <c r="G40" s="303" t="s">
        <v>2051</v>
      </c>
      <c r="H40" s="318">
        <v>138</v>
      </c>
      <c r="I40" s="303" t="s">
        <v>2121</v>
      </c>
      <c r="J40" s="318">
        <v>127</v>
      </c>
      <c r="K40" s="303" t="s">
        <v>2052</v>
      </c>
      <c r="L40" s="318">
        <v>101</v>
      </c>
      <c r="M40" s="303" t="s">
        <v>2053</v>
      </c>
      <c r="N40" s="318">
        <v>150</v>
      </c>
      <c r="O40" s="303" t="s">
        <v>2054</v>
      </c>
      <c r="P40" s="318">
        <v>148</v>
      </c>
      <c r="Q40" s="303" t="s">
        <v>2055</v>
      </c>
      <c r="R40" s="318">
        <v>145</v>
      </c>
      <c r="S40" s="303" t="s">
        <v>2056</v>
      </c>
      <c r="T40" s="318">
        <v>141</v>
      </c>
      <c r="U40" s="303" t="s">
        <v>2057</v>
      </c>
      <c r="V40" s="318">
        <v>126</v>
      </c>
      <c r="W40" s="303" t="s">
        <v>2058</v>
      </c>
      <c r="X40" s="318">
        <v>174</v>
      </c>
      <c r="Y40" s="303" t="s">
        <v>2059</v>
      </c>
      <c r="Z40" s="318">
        <v>174</v>
      </c>
      <c r="AA40" s="303" t="s">
        <v>2060</v>
      </c>
      <c r="AB40" s="318">
        <v>127</v>
      </c>
      <c r="AC40" s="303" t="s">
        <v>2061</v>
      </c>
      <c r="AD40" s="318">
        <v>126</v>
      </c>
      <c r="AE40" s="303" t="s">
        <v>2062</v>
      </c>
      <c r="AF40" s="441">
        <v>116</v>
      </c>
      <c r="AG40" s="303" t="s">
        <v>2063</v>
      </c>
      <c r="AH40" s="318">
        <v>97</v>
      </c>
      <c r="AI40" s="303" t="s">
        <v>2064</v>
      </c>
      <c r="AJ40" s="318">
        <v>85</v>
      </c>
      <c r="AK40" s="303" t="s">
        <v>2065</v>
      </c>
      <c r="AL40" s="318">
        <v>81</v>
      </c>
      <c r="AM40" s="321" t="s">
        <v>2066</v>
      </c>
      <c r="AN40" s="318"/>
      <c r="AO40" s="321" t="s">
        <v>2067</v>
      </c>
      <c r="AP40" s="318"/>
      <c r="AQ40" s="321" t="s">
        <v>2068</v>
      </c>
      <c r="AR40" s="318">
        <v>73</v>
      </c>
      <c r="AS40" s="321" t="s">
        <v>2069</v>
      </c>
      <c r="AT40" s="318">
        <v>64</v>
      </c>
      <c r="AU40" s="321" t="s">
        <v>2070</v>
      </c>
      <c r="AV40" s="318">
        <v>96</v>
      </c>
      <c r="AW40" s="321" t="s">
        <v>2071</v>
      </c>
      <c r="AX40" s="415"/>
      <c r="AY40" s="321" t="s">
        <v>2072</v>
      </c>
      <c r="AZ40" s="415"/>
      <c r="BA40" s="321" t="s">
        <v>2073</v>
      </c>
      <c r="BB40" s="415"/>
      <c r="BC40" s="321" t="s">
        <v>2074</v>
      </c>
      <c r="BD40" s="415"/>
      <c r="BE40" s="303"/>
      <c r="BT40" s="442"/>
    </row>
    <row r="41" spans="2:74">
      <c r="B41" s="92" t="s">
        <v>17</v>
      </c>
      <c r="C41" s="321" t="s">
        <v>659</v>
      </c>
      <c r="D41" s="318">
        <v>137</v>
      </c>
      <c r="E41" s="303" t="s">
        <v>660</v>
      </c>
      <c r="F41" s="318" t="s">
        <v>51</v>
      </c>
      <c r="G41" s="303" t="s">
        <v>661</v>
      </c>
      <c r="H41" s="318" t="s">
        <v>51</v>
      </c>
      <c r="I41" s="303" t="s">
        <v>2122</v>
      </c>
      <c r="J41" s="318" t="s">
        <v>51</v>
      </c>
      <c r="K41" s="303"/>
      <c r="L41" s="318" t="s">
        <v>51</v>
      </c>
      <c r="M41" s="303" t="s">
        <v>1364</v>
      </c>
      <c r="N41" s="318" t="s">
        <v>51</v>
      </c>
      <c r="O41" s="303" t="s">
        <v>662</v>
      </c>
      <c r="P41" s="318" t="s">
        <v>51</v>
      </c>
      <c r="Q41" s="303" t="s">
        <v>663</v>
      </c>
      <c r="R41" s="318" t="s">
        <v>51</v>
      </c>
      <c r="S41" s="303" t="s">
        <v>664</v>
      </c>
      <c r="T41" s="318">
        <v>138</v>
      </c>
      <c r="U41" s="303" t="s">
        <v>665</v>
      </c>
      <c r="V41" s="318" t="s">
        <v>51</v>
      </c>
      <c r="W41" s="303" t="s">
        <v>1432</v>
      </c>
      <c r="X41" s="318" t="s">
        <v>51</v>
      </c>
      <c r="Y41" s="303" t="s">
        <v>666</v>
      </c>
      <c r="Z41" s="318" t="s">
        <v>51</v>
      </c>
      <c r="AA41" s="303" t="s">
        <v>1741</v>
      </c>
      <c r="AB41" s="318" t="s">
        <v>51</v>
      </c>
      <c r="AC41" s="303" t="s">
        <v>787</v>
      </c>
      <c r="AD41" s="318" t="s">
        <v>51</v>
      </c>
      <c r="AE41" s="303" t="s">
        <v>1581</v>
      </c>
      <c r="AF41" s="441" t="s">
        <v>51</v>
      </c>
      <c r="AG41" s="303" t="s">
        <v>667</v>
      </c>
      <c r="AH41" s="318" t="s">
        <v>51</v>
      </c>
      <c r="AI41" s="303" t="s">
        <v>668</v>
      </c>
      <c r="AJ41" s="318" t="s">
        <v>51</v>
      </c>
      <c r="AK41" s="303" t="s">
        <v>669</v>
      </c>
      <c r="AL41" s="318">
        <v>77</v>
      </c>
      <c r="AM41" s="321" t="s">
        <v>670</v>
      </c>
      <c r="AN41" s="318" t="s">
        <v>51</v>
      </c>
      <c r="AO41" s="321" t="s">
        <v>671</v>
      </c>
      <c r="AP41" s="318" t="s">
        <v>51</v>
      </c>
      <c r="AQ41" s="321" t="s">
        <v>672</v>
      </c>
      <c r="AR41" s="318">
        <v>70</v>
      </c>
      <c r="AS41" s="321" t="s">
        <v>673</v>
      </c>
      <c r="AT41" s="318">
        <v>62</v>
      </c>
      <c r="AU41" s="321" t="s">
        <v>1397</v>
      </c>
      <c r="AV41" s="318"/>
      <c r="AW41" s="321" t="s">
        <v>674</v>
      </c>
      <c r="AX41" s="415"/>
      <c r="AY41" s="321" t="s">
        <v>675</v>
      </c>
      <c r="AZ41" s="415"/>
      <c r="BA41" s="321" t="s">
        <v>1976</v>
      </c>
      <c r="BB41" s="415"/>
      <c r="BC41" s="321" t="s">
        <v>2009</v>
      </c>
      <c r="BD41" s="415"/>
      <c r="BE41" s="303"/>
      <c r="BT41" s="442"/>
    </row>
    <row r="42" spans="2:74">
      <c r="B42" s="92" t="s">
        <v>68</v>
      </c>
      <c r="C42" s="321" t="s">
        <v>693</v>
      </c>
      <c r="D42" s="318">
        <v>141</v>
      </c>
      <c r="E42" s="303" t="s">
        <v>694</v>
      </c>
      <c r="F42" s="318" t="s">
        <v>51</v>
      </c>
      <c r="G42" s="303" t="s">
        <v>695</v>
      </c>
      <c r="H42" s="318" t="s">
        <v>51</v>
      </c>
      <c r="I42" s="303" t="s">
        <v>2123</v>
      </c>
      <c r="J42" s="318" t="s">
        <v>51</v>
      </c>
      <c r="K42" s="303"/>
      <c r="L42" s="318" t="s">
        <v>51</v>
      </c>
      <c r="M42" s="303" t="s">
        <v>1366</v>
      </c>
      <c r="N42" s="318" t="s">
        <v>51</v>
      </c>
      <c r="O42" s="303" t="s">
        <v>696</v>
      </c>
      <c r="P42" s="318" t="s">
        <v>51</v>
      </c>
      <c r="Q42" s="303" t="s">
        <v>697</v>
      </c>
      <c r="R42" s="318" t="s">
        <v>51</v>
      </c>
      <c r="S42" s="303" t="s">
        <v>698</v>
      </c>
      <c r="T42" s="318">
        <v>141</v>
      </c>
      <c r="U42" s="303" t="s">
        <v>699</v>
      </c>
      <c r="V42" s="318" t="s">
        <v>51</v>
      </c>
      <c r="W42" s="303" t="s">
        <v>1434</v>
      </c>
      <c r="X42" s="318" t="s">
        <v>51</v>
      </c>
      <c r="Y42" s="303" t="s">
        <v>700</v>
      </c>
      <c r="Z42" s="318" t="s">
        <v>51</v>
      </c>
      <c r="AA42" s="303" t="s">
        <v>1743</v>
      </c>
      <c r="AB42" s="318" t="s">
        <v>51</v>
      </c>
      <c r="AC42" s="303" t="s">
        <v>789</v>
      </c>
      <c r="AD42" s="318" t="s">
        <v>51</v>
      </c>
      <c r="AE42" s="303" t="s">
        <v>1583</v>
      </c>
      <c r="AF42" s="441" t="s">
        <v>51</v>
      </c>
      <c r="AG42" s="303" t="s">
        <v>701</v>
      </c>
      <c r="AH42" s="318" t="s">
        <v>51</v>
      </c>
      <c r="AI42" s="303" t="s">
        <v>702</v>
      </c>
      <c r="AJ42" s="318" t="s">
        <v>51</v>
      </c>
      <c r="AK42" s="303" t="s">
        <v>703</v>
      </c>
      <c r="AL42" s="318">
        <v>81</v>
      </c>
      <c r="AM42" s="321" t="s">
        <v>704</v>
      </c>
      <c r="AN42" s="318" t="s">
        <v>51</v>
      </c>
      <c r="AO42" s="321" t="s">
        <v>705</v>
      </c>
      <c r="AP42" s="318" t="s">
        <v>51</v>
      </c>
      <c r="AQ42" s="321" t="s">
        <v>706</v>
      </c>
      <c r="AR42" s="318">
        <v>73</v>
      </c>
      <c r="AS42" s="321" t="s">
        <v>707</v>
      </c>
      <c r="AT42" s="318">
        <v>64</v>
      </c>
      <c r="AU42" s="321" t="s">
        <v>1399</v>
      </c>
      <c r="AV42" s="318"/>
      <c r="AW42" s="321" t="s">
        <v>708</v>
      </c>
      <c r="AX42" s="415"/>
      <c r="AY42" s="321" t="s">
        <v>709</v>
      </c>
      <c r="AZ42" s="415"/>
      <c r="BA42" s="321" t="s">
        <v>1977</v>
      </c>
      <c r="BB42" s="415"/>
      <c r="BC42" s="321" t="s">
        <v>2010</v>
      </c>
      <c r="BD42" s="415"/>
      <c r="BE42" s="303"/>
      <c r="BT42" s="442"/>
    </row>
    <row r="43" spans="2:74">
      <c r="B43" s="88" t="s">
        <v>16</v>
      </c>
      <c r="C43" s="321" t="s">
        <v>676</v>
      </c>
      <c r="D43" s="318">
        <v>137</v>
      </c>
      <c r="E43" s="303" t="s">
        <v>677</v>
      </c>
      <c r="F43" s="318" t="s">
        <v>51</v>
      </c>
      <c r="G43" s="303" t="s">
        <v>678</v>
      </c>
      <c r="H43" s="318" t="s">
        <v>51</v>
      </c>
      <c r="I43" s="303" t="s">
        <v>2124</v>
      </c>
      <c r="J43" s="318" t="s">
        <v>51</v>
      </c>
      <c r="K43" s="303"/>
      <c r="L43" s="318" t="s">
        <v>51</v>
      </c>
      <c r="M43" s="303" t="s">
        <v>1365</v>
      </c>
      <c r="N43" s="318" t="s">
        <v>51</v>
      </c>
      <c r="O43" s="303" t="s">
        <v>679</v>
      </c>
      <c r="P43" s="318" t="s">
        <v>51</v>
      </c>
      <c r="Q43" s="303" t="s">
        <v>680</v>
      </c>
      <c r="R43" s="318" t="s">
        <v>51</v>
      </c>
      <c r="S43" s="303" t="s">
        <v>681</v>
      </c>
      <c r="T43" s="318">
        <v>138</v>
      </c>
      <c r="U43" s="303" t="s">
        <v>682</v>
      </c>
      <c r="V43" s="318" t="s">
        <v>51</v>
      </c>
      <c r="W43" s="303" t="s">
        <v>1433</v>
      </c>
      <c r="X43" s="318" t="s">
        <v>51</v>
      </c>
      <c r="Y43" s="303" t="s">
        <v>683</v>
      </c>
      <c r="Z43" s="318" t="s">
        <v>51</v>
      </c>
      <c r="AA43" s="303" t="s">
        <v>1742</v>
      </c>
      <c r="AB43" s="318" t="s">
        <v>51</v>
      </c>
      <c r="AC43" s="303" t="s">
        <v>788</v>
      </c>
      <c r="AD43" s="318" t="s">
        <v>51</v>
      </c>
      <c r="AE43" s="303" t="s">
        <v>1582</v>
      </c>
      <c r="AF43" s="441" t="s">
        <v>51</v>
      </c>
      <c r="AG43" s="303" t="s">
        <v>684</v>
      </c>
      <c r="AH43" s="318" t="s">
        <v>51</v>
      </c>
      <c r="AI43" s="303" t="s">
        <v>685</v>
      </c>
      <c r="AJ43" s="318" t="s">
        <v>51</v>
      </c>
      <c r="AK43" s="303" t="s">
        <v>686</v>
      </c>
      <c r="AL43" s="318">
        <v>77</v>
      </c>
      <c r="AM43" s="321" t="s">
        <v>687</v>
      </c>
      <c r="AN43" s="318" t="s">
        <v>51</v>
      </c>
      <c r="AO43" s="321" t="s">
        <v>688</v>
      </c>
      <c r="AP43" s="318" t="s">
        <v>51</v>
      </c>
      <c r="AQ43" s="321" t="s">
        <v>689</v>
      </c>
      <c r="AR43" s="318">
        <v>70</v>
      </c>
      <c r="AS43" s="321" t="s">
        <v>690</v>
      </c>
      <c r="AT43" s="318">
        <v>62</v>
      </c>
      <c r="AU43" s="321" t="s">
        <v>1398</v>
      </c>
      <c r="AV43" s="318"/>
      <c r="AW43" s="321" t="s">
        <v>691</v>
      </c>
      <c r="AX43" s="415"/>
      <c r="AY43" s="321" t="s">
        <v>692</v>
      </c>
      <c r="AZ43" s="415"/>
      <c r="BA43" s="321" t="s">
        <v>1978</v>
      </c>
      <c r="BB43" s="415"/>
      <c r="BC43" s="321" t="s">
        <v>2011</v>
      </c>
      <c r="BD43" s="415"/>
      <c r="BE43" s="303"/>
      <c r="BT43" s="442"/>
    </row>
    <row r="44" spans="2:74" ht="15.75" thickBot="1">
      <c r="B44" s="90" t="s">
        <v>69</v>
      </c>
      <c r="C44" s="324" t="s">
        <v>710</v>
      </c>
      <c r="D44" s="319">
        <v>141</v>
      </c>
      <c r="E44" s="308" t="s">
        <v>711</v>
      </c>
      <c r="F44" s="319" t="s">
        <v>51</v>
      </c>
      <c r="G44" s="308" t="s">
        <v>712</v>
      </c>
      <c r="H44" s="319" t="s">
        <v>51</v>
      </c>
      <c r="I44" s="308" t="s">
        <v>2125</v>
      </c>
      <c r="J44" s="319" t="s">
        <v>51</v>
      </c>
      <c r="K44" s="308"/>
      <c r="L44" s="319" t="s">
        <v>51</v>
      </c>
      <c r="M44" s="308" t="s">
        <v>1367</v>
      </c>
      <c r="N44" s="319" t="s">
        <v>51</v>
      </c>
      <c r="O44" s="308" t="s">
        <v>713</v>
      </c>
      <c r="P44" s="319" t="s">
        <v>51</v>
      </c>
      <c r="Q44" s="308" t="s">
        <v>714</v>
      </c>
      <c r="R44" s="319" t="s">
        <v>51</v>
      </c>
      <c r="S44" s="308" t="s">
        <v>715</v>
      </c>
      <c r="T44" s="319">
        <v>141</v>
      </c>
      <c r="U44" s="308" t="s">
        <v>716</v>
      </c>
      <c r="V44" s="319" t="s">
        <v>51</v>
      </c>
      <c r="W44" s="308" t="s">
        <v>1435</v>
      </c>
      <c r="X44" s="319" t="s">
        <v>51</v>
      </c>
      <c r="Y44" s="308" t="s">
        <v>717</v>
      </c>
      <c r="Z44" s="319" t="s">
        <v>51</v>
      </c>
      <c r="AA44" s="308" t="s">
        <v>1744</v>
      </c>
      <c r="AB44" s="319" t="s">
        <v>51</v>
      </c>
      <c r="AC44" s="308" t="s">
        <v>790</v>
      </c>
      <c r="AD44" s="319" t="s">
        <v>51</v>
      </c>
      <c r="AE44" s="308" t="s">
        <v>1584</v>
      </c>
      <c r="AF44" s="444" t="s">
        <v>51</v>
      </c>
      <c r="AG44" s="308" t="s">
        <v>718</v>
      </c>
      <c r="AH44" s="319" t="s">
        <v>51</v>
      </c>
      <c r="AI44" s="308" t="s">
        <v>719</v>
      </c>
      <c r="AJ44" s="319" t="s">
        <v>51</v>
      </c>
      <c r="AK44" s="308" t="s">
        <v>720</v>
      </c>
      <c r="AL44" s="319">
        <v>81</v>
      </c>
      <c r="AM44" s="324" t="s">
        <v>721</v>
      </c>
      <c r="AN44" s="319" t="s">
        <v>51</v>
      </c>
      <c r="AO44" s="324" t="s">
        <v>722</v>
      </c>
      <c r="AP44" s="319" t="s">
        <v>51</v>
      </c>
      <c r="AQ44" s="324" t="s">
        <v>723</v>
      </c>
      <c r="AR44" s="319">
        <v>73</v>
      </c>
      <c r="AS44" s="324" t="s">
        <v>724</v>
      </c>
      <c r="AT44" s="319">
        <v>64</v>
      </c>
      <c r="AU44" s="324" t="s">
        <v>1400</v>
      </c>
      <c r="AV44" s="319"/>
      <c r="AW44" s="324" t="s">
        <v>725</v>
      </c>
      <c r="AX44" s="418"/>
      <c r="AY44" s="324" t="s">
        <v>726</v>
      </c>
      <c r="AZ44" s="418"/>
      <c r="BA44" s="324" t="s">
        <v>1979</v>
      </c>
      <c r="BB44" s="418"/>
      <c r="BC44" s="324" t="s">
        <v>2012</v>
      </c>
      <c r="BD44" s="418"/>
      <c r="BE44" s="308"/>
      <c r="BF44" s="445"/>
      <c r="BG44" s="324"/>
      <c r="BH44" s="445"/>
      <c r="BI44" s="324"/>
      <c r="BJ44" s="445"/>
      <c r="BK44" s="324"/>
      <c r="BL44" s="445"/>
      <c r="BM44" s="324"/>
      <c r="BN44" s="445"/>
      <c r="BO44" s="324"/>
      <c r="BP44" s="445"/>
      <c r="BQ44" s="324"/>
      <c r="BR44" s="445"/>
      <c r="BS44" s="324"/>
      <c r="BT44" s="446"/>
    </row>
    <row r="45" spans="2:74">
      <c r="L45" s="307"/>
    </row>
    <row r="46" spans="2:74">
      <c r="B46" s="332"/>
      <c r="L46" s="307"/>
      <c r="AB46" s="327"/>
      <c r="AD46" s="327"/>
      <c r="AE46" s="327"/>
      <c r="AF46" s="327"/>
    </row>
    <row r="47" spans="2:74">
      <c r="B47" s="332"/>
      <c r="AB47" s="327"/>
      <c r="AD47" s="327"/>
      <c r="AE47" s="327"/>
      <c r="AF47" s="327"/>
    </row>
  </sheetData>
  <mergeCells count="39">
    <mergeCell ref="W2:X3"/>
    <mergeCell ref="AA2:AB3"/>
    <mergeCell ref="AE2:AF3"/>
    <mergeCell ref="B2:B3"/>
    <mergeCell ref="C2:D3"/>
    <mergeCell ref="E2:F3"/>
    <mergeCell ref="G2:H3"/>
    <mergeCell ref="O2:P3"/>
    <mergeCell ref="M2:N3"/>
    <mergeCell ref="I2:J3"/>
    <mergeCell ref="BO3:BP3"/>
    <mergeCell ref="BS3:BT3"/>
    <mergeCell ref="BQ3:BR3"/>
    <mergeCell ref="BI3:BJ3"/>
    <mergeCell ref="AW2:AX3"/>
    <mergeCell ref="AY2:AZ3"/>
    <mergeCell ref="BE3:BF3"/>
    <mergeCell ref="BG3:BH3"/>
    <mergeCell ref="BA2:BB3"/>
    <mergeCell ref="BE2:BS2"/>
    <mergeCell ref="BK3:BL3"/>
    <mergeCell ref="BC2:BD3"/>
    <mergeCell ref="BM3:BN3"/>
    <mergeCell ref="AU3:AV3"/>
    <mergeCell ref="AU2:AV2"/>
    <mergeCell ref="K2:L3"/>
    <mergeCell ref="AM3:AN3"/>
    <mergeCell ref="AO3:AP3"/>
    <mergeCell ref="AQ3:AR3"/>
    <mergeCell ref="AS3:AT3"/>
    <mergeCell ref="AM2:AT2"/>
    <mergeCell ref="Q2:R3"/>
    <mergeCell ref="S2:T3"/>
    <mergeCell ref="U2:V3"/>
    <mergeCell ref="Y2:Z3"/>
    <mergeCell ref="AG2:AH3"/>
    <mergeCell ref="AI2:AJ3"/>
    <mergeCell ref="AK2:AL3"/>
    <mergeCell ref="AC2:AD3"/>
  </mergeCells>
  <pageMargins left="0.7" right="0.7" top="0.75" bottom="0.75" header="0.3" footer="0.3"/>
  <pageSetup paperSize="9" orientation="portrait" horizontalDpi="180" verticalDpi="180" r:id="rId1"/>
</worksheet>
</file>

<file path=xl/worksheets/sheet2.xml><?xml version="1.0" encoding="utf-8"?>
<worksheet xmlns="http://schemas.openxmlformats.org/spreadsheetml/2006/main" xmlns:r="http://schemas.openxmlformats.org/officeDocument/2006/relationships">
  <sheetPr codeName="Лист40">
    <tabColor rgb="FF99CC00"/>
    <pageSetUpPr fitToPage="1"/>
  </sheetPr>
  <dimension ref="A1:BC124"/>
  <sheetViews>
    <sheetView tabSelected="1" zoomScale="75" zoomScaleNormal="75" workbookViewId="0">
      <pane xSplit="1" ySplit="11" topLeftCell="B12" activePane="bottomRight" state="frozen"/>
      <selection pane="topRight"/>
      <selection pane="bottomLeft"/>
      <selection pane="bottomRight" sqref="A1:D1"/>
    </sheetView>
  </sheetViews>
  <sheetFormatPr defaultRowHeight="12.75"/>
  <cols>
    <col min="1" max="1" width="43" style="8" customWidth="1"/>
    <col min="2" max="2" width="18.28515625" style="8" customWidth="1"/>
    <col min="3" max="3" width="15.7109375" style="8" customWidth="1"/>
    <col min="4" max="4" width="11.7109375" style="8" customWidth="1"/>
    <col min="5" max="5" width="13.140625" style="8" customWidth="1"/>
    <col min="6" max="6" width="8.85546875" style="8" customWidth="1"/>
    <col min="7" max="7" width="9.85546875" style="8" customWidth="1"/>
    <col min="8" max="8" width="9.140625" style="8" customWidth="1"/>
    <col min="9" max="9" width="10.42578125" style="8" customWidth="1"/>
    <col min="10" max="10" width="7.85546875" style="8" customWidth="1"/>
    <col min="11" max="11" width="9.85546875" style="8" customWidth="1"/>
    <col min="12" max="12" width="8.85546875" style="8" customWidth="1"/>
    <col min="13" max="13" width="10.85546875" style="8" customWidth="1"/>
    <col min="14" max="14" width="9.5703125" style="8" customWidth="1"/>
    <col min="15" max="15" width="4.42578125" style="8" customWidth="1"/>
    <col min="16" max="16" width="7" style="8" customWidth="1"/>
    <col min="17" max="17" width="5.140625" style="8" customWidth="1"/>
    <col min="18" max="18" width="11.5703125" style="8" customWidth="1"/>
    <col min="19" max="19" width="6.85546875" style="8" customWidth="1"/>
    <col min="20" max="20" width="4.42578125" style="8" customWidth="1"/>
    <col min="21" max="21" width="10.7109375" style="8" customWidth="1"/>
    <col min="22" max="22" width="9.85546875" style="8" customWidth="1"/>
    <col min="23" max="23" width="4.5703125" style="8" customWidth="1"/>
    <col min="24" max="24" width="8.42578125" style="8" customWidth="1"/>
    <col min="25" max="25" width="5.28515625" style="8" customWidth="1"/>
    <col min="26" max="26" width="10.7109375" style="8" customWidth="1"/>
    <col min="27" max="27" width="8" style="8" customWidth="1"/>
    <col min="28" max="28" width="7.85546875" style="8" customWidth="1"/>
    <col min="29" max="29" width="8.42578125" style="8" customWidth="1"/>
    <col min="30" max="30" width="2.85546875" style="8" customWidth="1"/>
    <col min="31" max="31" width="11.28515625" style="8" customWidth="1"/>
    <col min="32" max="34" width="9.42578125" style="8" customWidth="1"/>
    <col min="35" max="35" width="8.85546875" style="8" customWidth="1"/>
    <col min="36" max="36" width="10.85546875" style="8" customWidth="1"/>
    <col min="37" max="16384" width="9.140625" style="8"/>
  </cols>
  <sheetData>
    <row r="1" spans="1:36">
      <c r="A1" s="597" t="s">
        <v>19</v>
      </c>
      <c r="B1" s="597"/>
      <c r="C1" s="597"/>
      <c r="D1" s="597"/>
    </row>
    <row r="2" spans="1:36" ht="18" customHeight="1" thickBot="1">
      <c r="A2" s="690" t="s">
        <v>1455</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76"/>
      <c r="AC2" s="76"/>
      <c r="AD2" s="76"/>
      <c r="AE2" s="76"/>
      <c r="AF2" s="79"/>
      <c r="AG2" s="79"/>
      <c r="AH2" s="79" t="s">
        <v>20</v>
      </c>
      <c r="AI2" s="753">
        <v>43927</v>
      </c>
      <c r="AJ2" s="753"/>
    </row>
    <row r="3" spans="1:36" ht="15" customHeight="1">
      <c r="A3" s="9"/>
      <c r="B3" s="9"/>
      <c r="AB3" s="12"/>
      <c r="AF3" s="3"/>
      <c r="AG3" s="3"/>
      <c r="AH3" s="3" t="s">
        <v>21</v>
      </c>
      <c r="AI3" s="754">
        <v>43927</v>
      </c>
      <c r="AJ3" s="754"/>
    </row>
    <row r="4" spans="1:36" ht="13.5" customHeight="1">
      <c r="A4" s="569" t="s">
        <v>22</v>
      </c>
      <c r="B4" s="569" t="s">
        <v>84</v>
      </c>
      <c r="C4" s="569" t="s">
        <v>136</v>
      </c>
      <c r="D4" s="498" t="s">
        <v>85</v>
      </c>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36" ht="15" customHeight="1">
      <c r="A5" s="569"/>
      <c r="B5" s="569"/>
      <c r="C5" s="569"/>
      <c r="D5" s="783" t="s">
        <v>23</v>
      </c>
      <c r="E5" s="784"/>
      <c r="F5" s="784"/>
      <c r="G5" s="785"/>
      <c r="H5" s="492" t="s">
        <v>1458</v>
      </c>
      <c r="I5" s="679" t="s">
        <v>24</v>
      </c>
      <c r="J5" s="680"/>
      <c r="K5" s="680"/>
      <c r="L5" s="680"/>
      <c r="M5" s="681"/>
      <c r="N5" s="573" t="s">
        <v>1654</v>
      </c>
      <c r="O5" s="593"/>
      <c r="P5" s="573" t="s">
        <v>1655</v>
      </c>
      <c r="Q5" s="593"/>
      <c r="R5" s="524" t="s">
        <v>1827</v>
      </c>
      <c r="S5" s="707" t="s">
        <v>760</v>
      </c>
      <c r="T5" s="786"/>
      <c r="U5" s="756" t="s">
        <v>1586</v>
      </c>
      <c r="V5" s="679" t="s">
        <v>25</v>
      </c>
      <c r="W5" s="680"/>
      <c r="X5" s="680"/>
      <c r="Y5" s="681"/>
      <c r="Z5" s="756" t="s">
        <v>36</v>
      </c>
      <c r="AA5" s="573" t="s">
        <v>15</v>
      </c>
      <c r="AB5" s="595"/>
      <c r="AC5" s="595"/>
      <c r="AD5" s="595"/>
      <c r="AE5" s="593"/>
      <c r="AF5" s="492" t="s">
        <v>1335</v>
      </c>
      <c r="AG5" s="499" t="s">
        <v>4</v>
      </c>
      <c r="AH5" s="570"/>
      <c r="AI5" s="570"/>
      <c r="AJ5" s="500"/>
    </row>
    <row r="6" spans="1:36" ht="15" customHeight="1">
      <c r="A6" s="674"/>
      <c r="B6" s="674"/>
      <c r="C6" s="674"/>
      <c r="D6" s="558" t="s">
        <v>1512</v>
      </c>
      <c r="E6" s="558" t="s">
        <v>1513</v>
      </c>
      <c r="F6" s="522" t="s">
        <v>29</v>
      </c>
      <c r="G6" s="522"/>
      <c r="H6" s="492"/>
      <c r="I6" s="715"/>
      <c r="J6" s="716"/>
      <c r="K6" s="716"/>
      <c r="L6" s="716"/>
      <c r="M6" s="717"/>
      <c r="N6" s="573"/>
      <c r="O6" s="593"/>
      <c r="P6" s="573"/>
      <c r="Q6" s="593"/>
      <c r="R6" s="524"/>
      <c r="S6" s="707"/>
      <c r="T6" s="786"/>
      <c r="U6" s="756"/>
      <c r="V6" s="715"/>
      <c r="W6" s="716"/>
      <c r="X6" s="716"/>
      <c r="Y6" s="717"/>
      <c r="Z6" s="756"/>
      <c r="AA6" s="573"/>
      <c r="AB6" s="595"/>
      <c r="AC6" s="595"/>
      <c r="AD6" s="595"/>
      <c r="AE6" s="593"/>
      <c r="AF6" s="492"/>
      <c r="AG6" s="501"/>
      <c r="AH6" s="571"/>
      <c r="AI6" s="571"/>
      <c r="AJ6" s="502"/>
    </row>
    <row r="7" spans="1:36" ht="42.75" customHeight="1">
      <c r="A7" s="674"/>
      <c r="B7" s="674"/>
      <c r="C7" s="674"/>
      <c r="D7" s="558"/>
      <c r="E7" s="558"/>
      <c r="F7" s="465" t="s">
        <v>1528</v>
      </c>
      <c r="G7" s="462" t="s">
        <v>2138</v>
      </c>
      <c r="H7" s="591"/>
      <c r="I7" s="39" t="s">
        <v>1661</v>
      </c>
      <c r="J7" s="82" t="s">
        <v>108</v>
      </c>
      <c r="K7" s="39" t="s">
        <v>31</v>
      </c>
      <c r="L7" s="429" t="s">
        <v>32</v>
      </c>
      <c r="M7" s="429" t="s">
        <v>33</v>
      </c>
      <c r="N7" s="574"/>
      <c r="O7" s="594"/>
      <c r="P7" s="574"/>
      <c r="Q7" s="594"/>
      <c r="R7" s="525"/>
      <c r="S7" s="708"/>
      <c r="T7" s="787"/>
      <c r="U7" s="613"/>
      <c r="V7" s="561" t="s">
        <v>34</v>
      </c>
      <c r="W7" s="563"/>
      <c r="X7" s="561" t="s">
        <v>35</v>
      </c>
      <c r="Y7" s="563"/>
      <c r="Z7" s="613"/>
      <c r="AA7" s="574"/>
      <c r="AB7" s="596"/>
      <c r="AC7" s="596"/>
      <c r="AD7" s="596"/>
      <c r="AE7" s="594"/>
      <c r="AF7" s="493"/>
      <c r="AG7" s="397" t="s">
        <v>1484</v>
      </c>
      <c r="AH7" s="397" t="s">
        <v>1334</v>
      </c>
      <c r="AI7" s="15" t="s">
        <v>2014</v>
      </c>
      <c r="AJ7" s="39" t="s">
        <v>2015</v>
      </c>
    </row>
    <row r="8" spans="1:36" ht="12.75" customHeight="1">
      <c r="A8" s="528" t="s">
        <v>37</v>
      </c>
      <c r="B8" s="529"/>
      <c r="C8" s="530"/>
      <c r="D8" s="58" t="s">
        <v>41</v>
      </c>
      <c r="E8" s="58" t="s">
        <v>41</v>
      </c>
      <c r="F8" s="503" t="s">
        <v>807</v>
      </c>
      <c r="G8" s="504"/>
      <c r="H8" s="58" t="s">
        <v>40</v>
      </c>
      <c r="I8" s="17" t="s">
        <v>38</v>
      </c>
      <c r="J8" s="17" t="s">
        <v>38</v>
      </c>
      <c r="K8" s="13" t="s">
        <v>38</v>
      </c>
      <c r="L8" s="17" t="s">
        <v>38</v>
      </c>
      <c r="M8" s="17" t="s">
        <v>38</v>
      </c>
      <c r="N8" s="503" t="s">
        <v>39</v>
      </c>
      <c r="O8" s="504"/>
      <c r="P8" s="749" t="s">
        <v>39</v>
      </c>
      <c r="Q8" s="750"/>
      <c r="R8" s="399" t="s">
        <v>791</v>
      </c>
      <c r="S8" s="749" t="s">
        <v>791</v>
      </c>
      <c r="T8" s="750"/>
      <c r="U8" s="296" t="s">
        <v>791</v>
      </c>
      <c r="V8" s="699" t="s">
        <v>41</v>
      </c>
      <c r="W8" s="700"/>
      <c r="X8" s="699" t="s">
        <v>41</v>
      </c>
      <c r="Y8" s="700"/>
      <c r="Z8" s="71" t="s">
        <v>41</v>
      </c>
      <c r="AA8" s="726" t="s">
        <v>42</v>
      </c>
      <c r="AB8" s="727"/>
      <c r="AC8" s="727"/>
      <c r="AD8" s="727"/>
      <c r="AE8" s="345" t="s">
        <v>1696</v>
      </c>
      <c r="AF8" s="344"/>
      <c r="AG8" s="559"/>
      <c r="AH8" s="229"/>
      <c r="AI8" s="229"/>
      <c r="AJ8" s="229"/>
    </row>
    <row r="9" spans="1:36" ht="12.75" customHeight="1">
      <c r="A9" s="531" t="s">
        <v>86</v>
      </c>
      <c r="B9" s="532"/>
      <c r="C9" s="533"/>
      <c r="D9" s="72" t="s">
        <v>87</v>
      </c>
      <c r="E9" s="72" t="s">
        <v>87</v>
      </c>
      <c r="F9" s="557" t="s">
        <v>87</v>
      </c>
      <c r="G9" s="560"/>
      <c r="H9" s="221" t="s">
        <v>92</v>
      </c>
      <c r="I9" s="19" t="s">
        <v>91</v>
      </c>
      <c r="J9" s="325" t="s">
        <v>88</v>
      </c>
      <c r="K9" s="81" t="s">
        <v>89</v>
      </c>
      <c r="L9" s="325" t="s">
        <v>90</v>
      </c>
      <c r="M9" s="325" t="s">
        <v>89</v>
      </c>
      <c r="N9" s="557" t="s">
        <v>91</v>
      </c>
      <c r="O9" s="560"/>
      <c r="P9" s="557" t="s">
        <v>91</v>
      </c>
      <c r="Q9" s="560"/>
      <c r="R9" s="400" t="s">
        <v>90</v>
      </c>
      <c r="S9" s="557" t="s">
        <v>792</v>
      </c>
      <c r="T9" s="560"/>
      <c r="U9" s="295" t="s">
        <v>43</v>
      </c>
      <c r="V9" s="711" t="s">
        <v>44</v>
      </c>
      <c r="W9" s="712"/>
      <c r="X9" s="711" t="s">
        <v>89</v>
      </c>
      <c r="Y9" s="712"/>
      <c r="Z9" s="72" t="s">
        <v>92</v>
      </c>
      <c r="AA9" s="72">
        <v>0.8</v>
      </c>
      <c r="AB9" s="72">
        <v>0.7</v>
      </c>
      <c r="AC9" s="557">
        <v>0.45</v>
      </c>
      <c r="AD9" s="560"/>
      <c r="AE9" s="72">
        <v>0.4</v>
      </c>
      <c r="AF9" s="72">
        <v>0.4</v>
      </c>
      <c r="AG9" s="559"/>
      <c r="AH9" s="229"/>
      <c r="AI9" s="229"/>
      <c r="AJ9" s="229"/>
    </row>
    <row r="10" spans="1:36" ht="12.75" customHeight="1">
      <c r="A10" s="538" t="s">
        <v>93</v>
      </c>
      <c r="B10" s="539"/>
      <c r="C10" s="540"/>
      <c r="D10" s="60" t="s">
        <v>45</v>
      </c>
      <c r="E10" s="60" t="s">
        <v>45</v>
      </c>
      <c r="F10" s="709" t="s">
        <v>45</v>
      </c>
      <c r="G10" s="710"/>
      <c r="H10" s="50" t="s">
        <v>47</v>
      </c>
      <c r="I10" s="20" t="s">
        <v>134</v>
      </c>
      <c r="J10" s="326" t="s">
        <v>134</v>
      </c>
      <c r="K10" s="23" t="s">
        <v>46</v>
      </c>
      <c r="L10" s="326" t="s">
        <v>135</v>
      </c>
      <c r="M10" s="326" t="s">
        <v>135</v>
      </c>
      <c r="N10" s="709" t="s">
        <v>46</v>
      </c>
      <c r="O10" s="710"/>
      <c r="P10" s="709" t="s">
        <v>46</v>
      </c>
      <c r="Q10" s="710"/>
      <c r="R10" s="401" t="s">
        <v>46</v>
      </c>
      <c r="S10" s="709" t="s">
        <v>135</v>
      </c>
      <c r="T10" s="710"/>
      <c r="U10" s="297" t="s">
        <v>135</v>
      </c>
      <c r="V10" s="781" t="s">
        <v>45</v>
      </c>
      <c r="W10" s="782"/>
      <c r="X10" s="781" t="s">
        <v>45</v>
      </c>
      <c r="Y10" s="782"/>
      <c r="Z10" s="60" t="s">
        <v>47</v>
      </c>
      <c r="AA10" s="60" t="s">
        <v>47</v>
      </c>
      <c r="AB10" s="60" t="s">
        <v>47</v>
      </c>
      <c r="AC10" s="709" t="s">
        <v>47</v>
      </c>
      <c r="AD10" s="710"/>
      <c r="AE10" s="60" t="s">
        <v>48</v>
      </c>
      <c r="AF10" s="60" t="s">
        <v>48</v>
      </c>
      <c r="AG10" s="59" t="s">
        <v>49</v>
      </c>
      <c r="AH10" s="23" t="s">
        <v>49</v>
      </c>
      <c r="AI10" s="23" t="s">
        <v>49</v>
      </c>
      <c r="AJ10" s="23" t="s">
        <v>49</v>
      </c>
    </row>
    <row r="11" spans="1:36">
      <c r="A11" s="27" t="s">
        <v>56</v>
      </c>
      <c r="B11" s="28"/>
      <c r="C11" s="28"/>
      <c r="D11" s="28"/>
      <c r="E11" s="28"/>
      <c r="F11" s="28"/>
      <c r="G11" s="28"/>
      <c r="H11" s="28"/>
      <c r="I11" s="28"/>
      <c r="J11" s="28"/>
      <c r="K11" s="28"/>
      <c r="L11" s="28"/>
      <c r="M11" s="28"/>
      <c r="N11" s="28"/>
      <c r="O11" s="28"/>
      <c r="P11" s="28"/>
      <c r="Q11" s="28"/>
      <c r="R11" s="28"/>
      <c r="S11" s="28"/>
      <c r="T11" s="28"/>
      <c r="U11" s="28"/>
      <c r="V11" s="269"/>
      <c r="W11" s="269"/>
      <c r="X11" s="269"/>
      <c r="Y11" s="28"/>
      <c r="Z11" s="28"/>
      <c r="AA11" s="28"/>
      <c r="AB11" s="28"/>
      <c r="AC11" s="28"/>
      <c r="AD11" s="28"/>
      <c r="AE11" s="28"/>
      <c r="AF11" s="28"/>
      <c r="AG11" s="28"/>
      <c r="AH11" s="29"/>
      <c r="AI11" s="29"/>
      <c r="AJ11" s="29"/>
    </row>
    <row r="12" spans="1:36" ht="13.5" customHeight="1">
      <c r="A12" s="37" t="s">
        <v>2</v>
      </c>
      <c r="B12" s="33" t="s">
        <v>115</v>
      </c>
      <c r="C12" s="33" t="s">
        <v>57</v>
      </c>
      <c r="D12" s="31">
        <f>ROUND(PnC8_Ptdp*Belarus*(1-D95),2)</f>
        <v>771</v>
      </c>
      <c r="E12" s="31">
        <f>ROUND(PnC8_Pt*Belarus*(1-D95),2)</f>
        <v>639</v>
      </c>
      <c r="F12" s="31">
        <f>ROUND(PnC8_Sf*Belarus*(1-C95),2)</f>
        <v>670</v>
      </c>
      <c r="G12" s="31">
        <f>ROUND(PnC8_Sf_a*Belarus*(1-D95),2)</f>
        <v>609</v>
      </c>
      <c r="H12" s="31">
        <f>ROUND(PnC8_PtRF*Belarus*(1-H95),2)</f>
        <v>510</v>
      </c>
      <c r="I12" s="430">
        <f>ROUND(PnC8_QproMatt*Belarus*(1-I95),2)</f>
        <v>727</v>
      </c>
      <c r="J12" s="430">
        <f>ROUND(PnC8_Q*Belarus*(1-I95),2)</f>
        <v>720</v>
      </c>
      <c r="K12" s="334">
        <f>ROUND(PnC8_Ql*Belarus*(1-I95),2)</f>
        <v>640</v>
      </c>
      <c r="L12" s="430">
        <f>ROUND(PnC8_Vel*Belarus*(1-I95),2)</f>
        <v>616</v>
      </c>
      <c r="M12" s="430">
        <f>ROUND(PnC8_Atl*Belarus*(1-I95),2)</f>
        <v>562</v>
      </c>
      <c r="N12" s="31">
        <f>ROUND(PnC8_PurMatt*Belarus*(1-N95),2)</f>
        <v>800</v>
      </c>
      <c r="O12" s="794" t="str">
        <f>"наценка RAL 7016: "&amp;(25*Belarus)&amp;" р./кв.м, штакетник "&amp;(2.5*Belarus)&amp;" р./п.м"</f>
        <v>наценка RAL 7016: 25 р./кв.м, штакетник 2,5 р./п.м</v>
      </c>
      <c r="P12" s="31">
        <f>ROUND(PnC8_Pur*Belarus*(1-P95),2)</f>
        <v>800</v>
      </c>
      <c r="Q12" s="788" t="str">
        <f>"наценка RAL 7016: "&amp;(25*Belarus)&amp;" р./кв.м, штакетник "&amp;(2.5*Belarus)&amp;" р./п.м"</f>
        <v>наценка RAL 7016: 25 р./кв.м, штакетник 2,5 р./п.м</v>
      </c>
      <c r="R12" s="31">
        <f>ROUND(PnC8_PurLiteMatt*Belarus*(1-R95),2)</f>
        <v>507</v>
      </c>
      <c r="S12" s="31">
        <f>ROUND(PnC8_StBarhat*Belarus*(1-S95),2)</f>
        <v>505</v>
      </c>
      <c r="T12" s="794" t="str">
        <f>"наценка RAL 7016: "&amp;(25*Belarus)&amp;" р./кв.м, штакетник "&amp;(2.5*Belarus)&amp;" р./п.м"</f>
        <v>наценка RAL 7016: 25 р./кв.м, штакетник 2,5 р./п.м</v>
      </c>
      <c r="U12" s="31">
        <f>ROUND(PnC8_SatMatt*Belarus*(1-U95),2)</f>
        <v>484</v>
      </c>
      <c r="V12" s="428">
        <f>ROUND(PnC8_Dr*Belarus*(1-V95),2)</f>
        <v>377</v>
      </c>
      <c r="W12" s="748" t="str">
        <f>"наценка RAL 7016: "&amp;(25*Belarus)&amp;" р./кв.м, штакетник "&amp;(2.5*Belarus)&amp;" р./п.м"</f>
        <v>наценка RAL 7016: 25 р./кв.м, штакетник 2,5 р./п.м</v>
      </c>
      <c r="X12" s="430">
        <f>ROUND(PnC8_Sat*Belarus*(1-X95),2)</f>
        <v>357</v>
      </c>
      <c r="Y12" s="748" t="str">
        <f>"наценка RAL 7016: "&amp;(25*Belarus)&amp;" р./кв.м, штакетник "&amp;(2.5*Belarus)&amp;" р./п.м"</f>
        <v>наценка RAL 7016: 25 р./кв.м, штакетник 2,5 р./п.м</v>
      </c>
      <c r="Z12" s="31">
        <f>ROUND(PnC8_PEdp*Belarus*(1-Z95),2)</f>
        <v>353</v>
      </c>
      <c r="AA12" s="31" t="s">
        <v>51</v>
      </c>
      <c r="AB12" s="31" t="s">
        <v>51</v>
      </c>
      <c r="AC12" s="32">
        <f>ROUND(PnC8_Pe045*Belarus*(1-AC95),2)</f>
        <v>327</v>
      </c>
      <c r="AD12" s="794" t="str">
        <f>"наценка RAL 2004, 1018: "&amp;(25*Belarus)&amp;" р./кв.м, штакетник "&amp;(2.5*Belarus)&amp;" р./п.м"</f>
        <v>наценка RAL 2004, 1018: 25 р./кв.м, штакетник 2,5 р./п.м</v>
      </c>
      <c r="AE12" s="243">
        <f>ROUND(PnC8_Pe04*Belarus*(1-AE95),2)</f>
        <v>252</v>
      </c>
      <c r="AF12" s="243">
        <f>ROUND(PnC8_PeMatt04*Belarus*(1-AF95),2)</f>
        <v>373</v>
      </c>
      <c r="AG12" s="483">
        <f>ROUND(PnC8_dachPr*Belarus*(1-AG95),2)</f>
        <v>237</v>
      </c>
      <c r="AH12" s="483">
        <f>ROUND(PnC8_dachSk*Belarus*(1-AH95),2)</f>
        <v>225</v>
      </c>
      <c r="AI12" s="483">
        <f>ROUND(PnC8_dachPr_k*Belarus*(1-AI95),2)</f>
        <v>320</v>
      </c>
      <c r="AJ12" s="483">
        <f>ROUND(PnC8_dachPr_tw*Belarus*(1-AJ95),2)</f>
        <v>310</v>
      </c>
    </row>
    <row r="13" spans="1:36" ht="15.75" customHeight="1">
      <c r="A13" s="37" t="s">
        <v>1509</v>
      </c>
      <c r="B13" s="25" t="s">
        <v>115</v>
      </c>
      <c r="C13" s="25" t="s">
        <v>1501</v>
      </c>
      <c r="D13" s="31">
        <f>ROUND(PnC8f_Ptdp*Belarus*(1-D95),2)</f>
        <v>826</v>
      </c>
      <c r="E13" s="31">
        <f>ROUND(PnC8f_Pt*Belarus*(1-D95),2)</f>
        <v>694</v>
      </c>
      <c r="F13" s="31">
        <f>ROUND(PnC8f_Sf*Belarus*(1-C95),2)</f>
        <v>725</v>
      </c>
      <c r="G13" s="31">
        <f>ROUND(PnC8f_Sf_a*Belarus*(1-D95),2)</f>
        <v>664</v>
      </c>
      <c r="H13" s="31">
        <f>ROUND(PnC8f_PtRF*Belarus*(1-H95),2)</f>
        <v>565</v>
      </c>
      <c r="I13" s="430">
        <f>ROUND(PnC8f_QproMatt*Belarus*(1-I95),2)</f>
        <v>782</v>
      </c>
      <c r="J13" s="430">
        <f>ROUND(PnC8f_Q*Belarus*(1-I95),2)</f>
        <v>775</v>
      </c>
      <c r="K13" s="472">
        <f>ROUND(PnC8f_Ql*Belarus*(1-I95),2)</f>
        <v>695</v>
      </c>
      <c r="L13" s="430">
        <f>ROUND(PnC8f_Vel*Belarus*(1-I95),2)</f>
        <v>671</v>
      </c>
      <c r="M13" s="430">
        <f>ROUND(PnC8f_Atl*Belarus*(1-I95),2)</f>
        <v>617</v>
      </c>
      <c r="N13" s="31">
        <f>ROUND(PnC8f_PurMatt*Belarus*(1-N95),2)</f>
        <v>855</v>
      </c>
      <c r="O13" s="794"/>
      <c r="P13" s="31">
        <f>ROUND(PnC8f_Pur*Belarus*(1-P95),2)</f>
        <v>855</v>
      </c>
      <c r="Q13" s="789"/>
      <c r="R13" s="31">
        <f>ROUND(PnC8f_PurLiteMatt*Belarus*(1-R95),2)</f>
        <v>562</v>
      </c>
      <c r="S13" s="31">
        <f>ROUND(PnC8f_StBarhat*Belarus*(1-S95),2)</f>
        <v>560</v>
      </c>
      <c r="T13" s="794"/>
      <c r="U13" s="31">
        <f>ROUND(PnC8f_SatMatt*Belarus*(1-U95),2)</f>
        <v>539</v>
      </c>
      <c r="V13" s="428">
        <f>ROUND(PnC8f_Dr*Belarus*(1-V95),2)</f>
        <v>432</v>
      </c>
      <c r="W13" s="748"/>
      <c r="X13" s="430">
        <f>ROUND(PnC8f_Sat*Belarus*(1-X95),2)</f>
        <v>412</v>
      </c>
      <c r="Y13" s="748"/>
      <c r="Z13" s="31">
        <f>ROUND(PnC8f_PEdp*Belarus*(1-Z95),2)</f>
        <v>408</v>
      </c>
      <c r="AA13" s="38" t="s">
        <v>51</v>
      </c>
      <c r="AB13" s="38" t="s">
        <v>51</v>
      </c>
      <c r="AC13" s="32">
        <f>ROUND(PnC8f_Pe045*Belarus*(1-AC95),2)</f>
        <v>382</v>
      </c>
      <c r="AD13" s="794"/>
      <c r="AE13" s="243">
        <f>ROUND(PnC8f_Pe04*Belarus*(1-AE95),2)</f>
        <v>307</v>
      </c>
      <c r="AF13" s="243">
        <f>ROUND(PnC8f_PeMatt04*Belarus*(1-AF95),2)</f>
        <v>428</v>
      </c>
      <c r="AG13" s="419" t="s">
        <v>51</v>
      </c>
      <c r="AH13" s="419" t="s">
        <v>51</v>
      </c>
      <c r="AI13" s="412" t="s">
        <v>51</v>
      </c>
      <c r="AJ13" s="407" t="s">
        <v>51</v>
      </c>
    </row>
    <row r="14" spans="1:36" ht="18" customHeight="1">
      <c r="A14" s="30" t="s">
        <v>3</v>
      </c>
      <c r="B14" s="33" t="s">
        <v>94</v>
      </c>
      <c r="C14" s="33" t="s">
        <v>57</v>
      </c>
      <c r="D14" s="31">
        <f>ROUND(PnC10_Ptdp*Belarus*(1-D95),2)</f>
        <v>786</v>
      </c>
      <c r="E14" s="31">
        <f>ROUND(PnC10_Pt*Belarus*(1-D95),2)</f>
        <v>652</v>
      </c>
      <c r="F14" s="31">
        <f>ROUND(PnC10_Sf*Belarus*(1-C95),2)</f>
        <v>683</v>
      </c>
      <c r="G14" s="31">
        <f>ROUND(PnC10_Sf_a*Belarus*(1-D95),2)</f>
        <v>621</v>
      </c>
      <c r="H14" s="31">
        <f>ROUND(PnC10_PtRF*Belarus*(1-H95),2)</f>
        <v>521</v>
      </c>
      <c r="I14" s="430">
        <f>ROUND(PnC10_QproMatt*Belarus*(1-I95),2)</f>
        <v>741</v>
      </c>
      <c r="J14" s="430">
        <f>ROUND(PnC10_Q*Belarus*(1-I95),2)</f>
        <v>734</v>
      </c>
      <c r="K14" s="472">
        <f>ROUND(PnC10_Ql*Belarus*(1-I95),2)</f>
        <v>653</v>
      </c>
      <c r="L14" s="430">
        <f>ROUND(PnC10_Vel*Belarus*(1-I95),2)</f>
        <v>628</v>
      </c>
      <c r="M14" s="430">
        <f>ROUND(PnC10_Atl*Belarus*(1-I95),2)</f>
        <v>574</v>
      </c>
      <c r="N14" s="31">
        <f>ROUND(PnC10_PurMatt*Belarus*(1-N95),2)</f>
        <v>816</v>
      </c>
      <c r="O14" s="794"/>
      <c r="P14" s="31">
        <f>ROUND(PnC10_Pur*Belarus*(1-P95),2)</f>
        <v>816</v>
      </c>
      <c r="Q14" s="789"/>
      <c r="R14" s="31">
        <f>ROUND(PnC10_PurLiteMatt*Belarus*(1-R95),2)</f>
        <v>518</v>
      </c>
      <c r="S14" s="31">
        <f>ROUND(PnC10_StBarhat*Belarus*(1-S95),2)</f>
        <v>515</v>
      </c>
      <c r="T14" s="794"/>
      <c r="U14" s="31">
        <f>ROUND(PnC10_SatMatt*Belarus*(1-U95),2)</f>
        <v>494</v>
      </c>
      <c r="V14" s="428">
        <f>ROUND(PnC10_Dr*Belarus*(1-V95),2)</f>
        <v>385</v>
      </c>
      <c r="W14" s="748"/>
      <c r="X14" s="430">
        <f>ROUND(PnC10_Sat*Belarus*(1-X95),2)</f>
        <v>365</v>
      </c>
      <c r="Y14" s="748"/>
      <c r="Z14" s="31">
        <f>ROUND(PnC10_PEdp*Belarus*(1-Z95),2)</f>
        <v>361</v>
      </c>
      <c r="AA14" s="31" t="s">
        <v>51</v>
      </c>
      <c r="AB14" s="32">
        <f>ROUND(PnC10_Pe07*Belarus*(1-AB95),2)</f>
        <v>469</v>
      </c>
      <c r="AC14" s="32">
        <f>ROUND(PnC10_Pe045*Belarus*(1-AC95),2)</f>
        <v>335</v>
      </c>
      <c r="AD14" s="794"/>
      <c r="AE14" s="243">
        <f>ROUND(PnC10_Pe04*Belarus*(1-AE95),2)</f>
        <v>258</v>
      </c>
      <c r="AF14" s="243">
        <f>ROUND(PnC10_PeMatt04*Belarus*(1-AF95),2)</f>
        <v>381</v>
      </c>
      <c r="AG14" s="483">
        <f>ROUND(PnC10_dachPr*Belarus*(1-AG95),2)</f>
        <v>243</v>
      </c>
      <c r="AH14" s="419" t="s">
        <v>51</v>
      </c>
      <c r="AI14" s="412" t="s">
        <v>51</v>
      </c>
      <c r="AJ14" s="407" t="s">
        <v>51</v>
      </c>
    </row>
    <row r="15" spans="1:36" ht="17.25" customHeight="1">
      <c r="A15" s="37" t="s">
        <v>1500</v>
      </c>
      <c r="B15" s="33" t="s">
        <v>94</v>
      </c>
      <c r="C15" s="33" t="s">
        <v>116</v>
      </c>
      <c r="D15" s="31">
        <f>ROUND(PnC10f_Ptdp*Belarus*(1-D95),2)</f>
        <v>841</v>
      </c>
      <c r="E15" s="31">
        <f>ROUND(PnC10f_Pt*Belarus*(1-D95),2)</f>
        <v>707</v>
      </c>
      <c r="F15" s="31">
        <f>ROUND(PnC10f_Sf*Belarus*(1-C95),2)</f>
        <v>738</v>
      </c>
      <c r="G15" s="31">
        <f>ROUND(PnC10f_Sf_a*Belarus*(1-D95),2)</f>
        <v>676</v>
      </c>
      <c r="H15" s="31">
        <f>ROUND(PnC10f_PtRF*Belarus*(1-H95),2)</f>
        <v>576</v>
      </c>
      <c r="I15" s="430">
        <f>ROUND(PnC10f_QproMatt*Belarus*(1-I95),2)</f>
        <v>796</v>
      </c>
      <c r="J15" s="430">
        <f>ROUND(PnC10f_Q*Belarus*(1-I95),2)</f>
        <v>789</v>
      </c>
      <c r="K15" s="472">
        <f>ROUND(PnC10f_Ql*Belarus*(1-I95),2)</f>
        <v>708</v>
      </c>
      <c r="L15" s="430">
        <f>ROUND(PnC10f_Vel*Belarus*(1-I95),2)</f>
        <v>683</v>
      </c>
      <c r="M15" s="430">
        <f>ROUND(PnC10f_Atl*Belarus*(1-I95),2)</f>
        <v>629</v>
      </c>
      <c r="N15" s="31">
        <f>ROUND(PnC10f_PurMatt*Belarus*(1-N95),2)</f>
        <v>871</v>
      </c>
      <c r="O15" s="794"/>
      <c r="P15" s="31">
        <f>ROUND(PnC10f_Pur*Belarus*(1-P95),2)</f>
        <v>871</v>
      </c>
      <c r="Q15" s="789"/>
      <c r="R15" s="31">
        <f>ROUND(PnC10f_PurLiteMatt*Belarus*(1-R95),2)</f>
        <v>573</v>
      </c>
      <c r="S15" s="31">
        <f>ROUND(PnC10f_StBarhat*Belarus*(1-S95),2)</f>
        <v>570</v>
      </c>
      <c r="T15" s="794"/>
      <c r="U15" s="31">
        <f>ROUND(PnC10f_SatMatt*Belarus*(1-U95),2)</f>
        <v>549</v>
      </c>
      <c r="V15" s="428">
        <f>ROUND(PnC10f_Dr*Belarus*(1-V95),2)</f>
        <v>440</v>
      </c>
      <c r="W15" s="748"/>
      <c r="X15" s="430">
        <f>ROUND(PnC10f_Sat*Belarus*(1-X95),2)</f>
        <v>420</v>
      </c>
      <c r="Y15" s="748"/>
      <c r="Z15" s="31">
        <f>ROUND(PnC10f_PEdp*Belarus*(1-Z95),2)</f>
        <v>416</v>
      </c>
      <c r="AA15" s="31" t="s">
        <v>51</v>
      </c>
      <c r="AB15" s="31" t="s">
        <v>51</v>
      </c>
      <c r="AC15" s="32">
        <f>ROUND(PnC10f_Pe045*Belarus*(1-AC95),2)</f>
        <v>390</v>
      </c>
      <c r="AD15" s="794"/>
      <c r="AE15" s="243" t="s">
        <v>51</v>
      </c>
      <c r="AF15" s="243">
        <f>ROUND(PnC10f_PeMatt04*Belarus*(1-AF95),2)</f>
        <v>436</v>
      </c>
      <c r="AG15" s="421" t="s">
        <v>51</v>
      </c>
      <c r="AH15" s="419" t="s">
        <v>51</v>
      </c>
      <c r="AI15" s="412" t="s">
        <v>51</v>
      </c>
      <c r="AJ15" s="407" t="s">
        <v>51</v>
      </c>
    </row>
    <row r="16" spans="1:36" ht="18" customHeight="1">
      <c r="A16" s="30" t="s">
        <v>5</v>
      </c>
      <c r="B16" s="51" t="s">
        <v>839</v>
      </c>
      <c r="C16" s="33" t="s">
        <v>57</v>
      </c>
      <c r="D16" s="31">
        <f>ROUND(PnC20_Ptdp*Belarus*(1-D95),2)</f>
        <v>805</v>
      </c>
      <c r="E16" s="31">
        <f>ROUND(PnC20_Pt*Belarus*(1-D95),2)</f>
        <v>667</v>
      </c>
      <c r="F16" s="31">
        <f>ROUND(PnC20_Sf*Belarus*(1-C95),2)</f>
        <v>699</v>
      </c>
      <c r="G16" s="31">
        <f>ROUND(PnC20_Sf_a*Belarus*(1-D95),2)</f>
        <v>635</v>
      </c>
      <c r="H16" s="31">
        <f>ROUND(PnC20_PtRF*Belarus*(1-H95),2)</f>
        <v>532</v>
      </c>
      <c r="I16" s="430">
        <f>ROUND(PnC20_QproMatt*Belarus*(1-I95),2)</f>
        <v>759</v>
      </c>
      <c r="J16" s="430">
        <f>ROUND(PnC20_Q*Belarus*(1-I95),2)</f>
        <v>751</v>
      </c>
      <c r="K16" s="472">
        <f>ROUND(PnC20_Ql*Belarus*(1-I95),2)</f>
        <v>668</v>
      </c>
      <c r="L16" s="430">
        <f>ROUND(PnC20_Vel*Belarus*(1-I95),2)</f>
        <v>643</v>
      </c>
      <c r="M16" s="430">
        <f>ROUND(PnC20_Atl*Belarus*(1-I95),2)</f>
        <v>586</v>
      </c>
      <c r="N16" s="31">
        <f>ROUND(PnC20_PurMatt*Belarus*(1-N95),2)</f>
        <v>835</v>
      </c>
      <c r="O16" s="794"/>
      <c r="P16" s="31">
        <f>ROUND(PnC20_Pur*Belarus*(1-P95),2)</f>
        <v>835</v>
      </c>
      <c r="Q16" s="789"/>
      <c r="R16" s="31">
        <f>ROUND(PnC20_PurLiteMatt*Belarus*(1-R95),2)</f>
        <v>529</v>
      </c>
      <c r="S16" s="31">
        <f>ROUND(PnC20_StBarhat*Belarus*(1-S95),2)</f>
        <v>527</v>
      </c>
      <c r="T16" s="794"/>
      <c r="U16" s="31">
        <f>ROUND(PnC20_SatMatt*Belarus*(1-U95),2)</f>
        <v>508</v>
      </c>
      <c r="V16" s="428">
        <f>ROUND(PnC20_Dr*Belarus*(1-V95),2)</f>
        <v>393</v>
      </c>
      <c r="W16" s="748"/>
      <c r="X16" s="430">
        <f>ROUND(PnC20_Sat*Belarus*(1-X95),2)</f>
        <v>373</v>
      </c>
      <c r="Y16" s="748"/>
      <c r="Z16" s="31">
        <f>ROUND(PnC20_PEdp*Belarus*(1-Z95),2)</f>
        <v>371</v>
      </c>
      <c r="AA16" s="31" t="s">
        <v>51</v>
      </c>
      <c r="AB16" s="31">
        <f>ROUND(PnC20_Pe07*Belarus*(1-AB95),2)</f>
        <v>499</v>
      </c>
      <c r="AC16" s="32">
        <f>ROUND(PnC20_Pe045*Belarus*(1-AC95),2)</f>
        <v>341</v>
      </c>
      <c r="AD16" s="794"/>
      <c r="AE16" s="243">
        <f>ROUND(PnC20_Pe04*Belarus*(1-AE95),2)</f>
        <v>263</v>
      </c>
      <c r="AF16" s="243">
        <f>ROUND(PnC20_PeMatt04*Belarus*(1-AF95),2)</f>
        <v>389</v>
      </c>
      <c r="AG16" s="483">
        <f>ROUND(PnC20_dachPr*Belarus*(1-AG95),2)</f>
        <v>247</v>
      </c>
      <c r="AH16" s="484">
        <f>ROUND(PnC20_dachSk*Belarus*(1-AH95),2)</f>
        <v>233</v>
      </c>
      <c r="AI16" s="412" t="s">
        <v>51</v>
      </c>
      <c r="AJ16" s="407" t="s">
        <v>51</v>
      </c>
    </row>
    <row r="17" spans="1:36" ht="15" customHeight="1">
      <c r="A17" s="37" t="s">
        <v>6</v>
      </c>
      <c r="B17" s="49" t="s">
        <v>1505</v>
      </c>
      <c r="C17" s="33" t="s">
        <v>58</v>
      </c>
      <c r="D17" s="31">
        <f>ROUND(PnC21_Ptdp*Belarus*(1-D95),2)</f>
        <v>880</v>
      </c>
      <c r="E17" s="31">
        <f>ROUND(PnC21_Pt*Belarus*(1-D95),2)</f>
        <v>730</v>
      </c>
      <c r="F17" s="31">
        <f>ROUND(PnC21_Sf*Belarus*(1-C95),2)</f>
        <v>765</v>
      </c>
      <c r="G17" s="31">
        <f>ROUND(PnC21_Sf_a*Belarus*(1-D95),2)</f>
        <v>695</v>
      </c>
      <c r="H17" s="31">
        <f>ROUND(PnC21_PtRF*Belarus*(1-H95),2)</f>
        <v>582</v>
      </c>
      <c r="I17" s="430">
        <f>ROUND(PnC21_QproMatt*Belarus*(1-I95),2)</f>
        <v>830</v>
      </c>
      <c r="J17" s="430">
        <f>ROUND(PnC21_Q*Belarus*(1-I95),2)</f>
        <v>822</v>
      </c>
      <c r="K17" s="472">
        <f>ROUND(PnC21_Ql*Belarus*(1-I95),2)</f>
        <v>731</v>
      </c>
      <c r="L17" s="430">
        <f>ROUND(PnC21_Vel*Belarus*(1-I95),2)</f>
        <v>703</v>
      </c>
      <c r="M17" s="430">
        <f>ROUND(PnC21_Atl*Belarus*(1-I95),2)</f>
        <v>642</v>
      </c>
      <c r="N17" s="31">
        <f>ROUND(PnC21_PurMatt*Belarus*(1-N95),2)</f>
        <v>913</v>
      </c>
      <c r="O17" s="794"/>
      <c r="P17" s="31">
        <f>ROUND(PnC21_Pur*Belarus*(1-P95),2)</f>
        <v>913</v>
      </c>
      <c r="Q17" s="789"/>
      <c r="R17" s="31">
        <f>ROUND(PnC21_PurLiteMatt*Belarus*(1-R95),2)</f>
        <v>582</v>
      </c>
      <c r="S17" s="31">
        <f>ROUND(PnC21_StBarhat*Belarus*(1-S95),2)</f>
        <v>576</v>
      </c>
      <c r="T17" s="794"/>
      <c r="U17" s="31">
        <f>ROUND(PnC21_SatMatt*Belarus*(1-U95),2)</f>
        <v>554</v>
      </c>
      <c r="V17" s="428">
        <f>ROUND(PnC21_Dr*Belarus*(1-V95),2)</f>
        <v>435</v>
      </c>
      <c r="W17" s="748"/>
      <c r="X17" s="430">
        <f>ROUND(PnC21_Sat*Belarus*(1-X95),2)</f>
        <v>411</v>
      </c>
      <c r="Y17" s="748"/>
      <c r="Z17" s="31">
        <f>ROUND(PnC21_PEdp*Belarus*(1-Z95),2)</f>
        <v>403</v>
      </c>
      <c r="AA17" s="31" t="s">
        <v>51</v>
      </c>
      <c r="AB17" s="31">
        <f>ROUND(PnC21_Pe07*Belarus*(1-AB95),2)</f>
        <v>547</v>
      </c>
      <c r="AC17" s="32">
        <f>ROUND(PnC21_Pe045*Belarus*(1-AC95),2)</f>
        <v>377</v>
      </c>
      <c r="AD17" s="794"/>
      <c r="AE17" s="243">
        <f>ROUND(PnC21_Pe04*Belarus*(1-AE95),2)</f>
        <v>288</v>
      </c>
      <c r="AF17" s="243">
        <f>ROUND(PnC21_PeMatt04*Belarus*(1-AF95),2)</f>
        <v>426</v>
      </c>
      <c r="AG17" s="420" t="s">
        <v>51</v>
      </c>
      <c r="AH17" s="421" t="s">
        <v>51</v>
      </c>
      <c r="AI17" s="413" t="s">
        <v>51</v>
      </c>
      <c r="AJ17" s="408" t="s">
        <v>51</v>
      </c>
    </row>
    <row r="18" spans="1:36" ht="13.5" customHeight="1">
      <c r="A18" s="30" t="s">
        <v>7</v>
      </c>
      <c r="B18" s="33" t="s">
        <v>95</v>
      </c>
      <c r="C18" s="33" t="s">
        <v>58</v>
      </c>
      <c r="D18" s="31" t="s">
        <v>51</v>
      </c>
      <c r="E18" s="31" t="s">
        <v>51</v>
      </c>
      <c r="F18" s="31" t="s">
        <v>51</v>
      </c>
      <c r="G18" s="31" t="s">
        <v>51</v>
      </c>
      <c r="H18" s="31" t="s">
        <v>51</v>
      </c>
      <c r="I18" s="430">
        <f>ROUND(PnHC35_QproMatt*Belarus*(1-I95),2)</f>
        <v>829</v>
      </c>
      <c r="J18" s="430">
        <f>ROUND(PnHC35_Q*Belarus*(1-I95),2)</f>
        <v>821</v>
      </c>
      <c r="K18" s="472">
        <f>ROUND(PnHC35_Ql*Belarus*(1-I95),2)</f>
        <v>730</v>
      </c>
      <c r="L18" s="430">
        <f>ROUND(PnHC35_Vel*Belarus*(1-I95),2)</f>
        <v>702</v>
      </c>
      <c r="M18" s="430">
        <f>ROUND(PnHC35_Atl*Belarus*(1-I95),2)</f>
        <v>641</v>
      </c>
      <c r="N18" s="31">
        <f>ROUND(PnHC35_PurMatt*Belarus*(1-N95),2)</f>
        <v>912</v>
      </c>
      <c r="O18" s="794"/>
      <c r="P18" s="31">
        <f>ROUND(PnHC35_Pur*Belarus*(1-P95),2)</f>
        <v>912</v>
      </c>
      <c r="Q18" s="789"/>
      <c r="R18" s="31">
        <f>ROUND(PnHC35_PurLiteMatt*Belarus*(1-R95),2)</f>
        <v>577</v>
      </c>
      <c r="S18" s="31">
        <f>ROUND(PnHC35_StBarhat*Belarus*(1-S95),2)</f>
        <v>575</v>
      </c>
      <c r="T18" s="794"/>
      <c r="U18" s="31">
        <f>ROUND(PnHC35_SatMatt*Belarus*(1-U95),2)</f>
        <v>553</v>
      </c>
      <c r="V18" s="428" t="s">
        <v>51</v>
      </c>
      <c r="W18" s="748"/>
      <c r="X18" s="430">
        <f>ROUND(PnHC35_Sat*Belarus*(1-X95),2)</f>
        <v>406</v>
      </c>
      <c r="Y18" s="748"/>
      <c r="Z18" s="31" t="s">
        <v>51</v>
      </c>
      <c r="AA18" s="31">
        <f>ROUND(PnHC35_Pe08*Belarus*(1-AA95),2)</f>
        <v>628</v>
      </c>
      <c r="AB18" s="31">
        <f>ROUND(PnHC35_Pe07*Belarus*(1-AB95),2)</f>
        <v>540</v>
      </c>
      <c r="AC18" s="242" t="s">
        <v>51</v>
      </c>
      <c r="AD18" s="794"/>
      <c r="AE18" s="243" t="s">
        <v>51</v>
      </c>
      <c r="AF18" s="243" t="s">
        <v>51</v>
      </c>
      <c r="AG18" s="421" t="s">
        <v>51</v>
      </c>
      <c r="AH18" s="270" t="s">
        <v>51</v>
      </c>
      <c r="AI18" s="270" t="s">
        <v>51</v>
      </c>
      <c r="AJ18" s="270" t="s">
        <v>51</v>
      </c>
    </row>
    <row r="19" spans="1:36" ht="17.25" customHeight="1">
      <c r="A19" s="37" t="s">
        <v>8</v>
      </c>
      <c r="B19" s="49" t="s">
        <v>1506</v>
      </c>
      <c r="C19" s="33" t="s">
        <v>58</v>
      </c>
      <c r="D19" s="31" t="s">
        <v>51</v>
      </c>
      <c r="E19" s="31" t="s">
        <v>51</v>
      </c>
      <c r="F19" s="31" t="s">
        <v>51</v>
      </c>
      <c r="G19" s="31" t="s">
        <v>51</v>
      </c>
      <c r="H19" s="31" t="s">
        <v>51</v>
      </c>
      <c r="I19" s="430">
        <f>ROUND(PnH60_QproMatt*Belarus*(1-I95),2)</f>
        <v>967</v>
      </c>
      <c r="J19" s="430">
        <f>ROUND(PnH60_Q*Belarus*(1-I95),2)</f>
        <v>958</v>
      </c>
      <c r="K19" s="472">
        <f>ROUND(PnH60_Ql*Belarus*(1-I95),2)</f>
        <v>851</v>
      </c>
      <c r="L19" s="430">
        <f>ROUND(PnH60_Vel*Belarus*(1-I95),2)</f>
        <v>820</v>
      </c>
      <c r="M19" s="430">
        <f>ROUND(PnH60_Atl*Belarus*(1-I95),2)</f>
        <v>748</v>
      </c>
      <c r="N19" s="31">
        <f>ROUND(PnH60_PurMatt*Belarus*(1-N95),2)</f>
        <v>1064</v>
      </c>
      <c r="O19" s="794"/>
      <c r="P19" s="31">
        <f>ROUND(PnH60_Pur*Belarus*(1-P95),2)</f>
        <v>1064</v>
      </c>
      <c r="Q19" s="789"/>
      <c r="R19" s="31">
        <f>ROUND(PnH60_PurLiteMatt*Belarus*(1-R95),2)</f>
        <v>675</v>
      </c>
      <c r="S19" s="31">
        <f>ROUND(PnH60_StBarhat*Belarus*(1-S95),2)</f>
        <v>671</v>
      </c>
      <c r="T19" s="794"/>
      <c r="U19" s="31">
        <f>ROUND(PnH60_SatMatt*Belarus*(1-U95),2)</f>
        <v>644</v>
      </c>
      <c r="V19" s="428" t="s">
        <v>51</v>
      </c>
      <c r="W19" s="748"/>
      <c r="X19" s="430">
        <f>ROUND(PnH60_Sat*Belarus*(1-X95),2)</f>
        <v>475</v>
      </c>
      <c r="Y19" s="748"/>
      <c r="Z19" s="31" t="s">
        <v>51</v>
      </c>
      <c r="AA19" s="31">
        <f>ROUND(PnH60_Pe08*Belarus*(1-AA95),2)</f>
        <v>738</v>
      </c>
      <c r="AB19" s="31">
        <f>ROUND(PnH60_Pe07*Belarus*(1-AB95),2)</f>
        <v>634</v>
      </c>
      <c r="AC19" s="32" t="s">
        <v>51</v>
      </c>
      <c r="AD19" s="794"/>
      <c r="AE19" s="243" t="s">
        <v>51</v>
      </c>
      <c r="AF19" s="243" t="s">
        <v>51</v>
      </c>
      <c r="AG19" s="421" t="s">
        <v>51</v>
      </c>
      <c r="AH19" s="270" t="s">
        <v>51</v>
      </c>
      <c r="AI19" s="270" t="s">
        <v>51</v>
      </c>
      <c r="AJ19" s="270" t="s">
        <v>51</v>
      </c>
    </row>
    <row r="20" spans="1:36" ht="19.5" customHeight="1">
      <c r="A20" s="30" t="s">
        <v>9</v>
      </c>
      <c r="B20" s="33" t="s">
        <v>117</v>
      </c>
      <c r="C20" s="33" t="s">
        <v>58</v>
      </c>
      <c r="D20" s="31" t="s">
        <v>51</v>
      </c>
      <c r="E20" s="31" t="s">
        <v>51</v>
      </c>
      <c r="F20" s="31" t="s">
        <v>51</v>
      </c>
      <c r="G20" s="31" t="s">
        <v>51</v>
      </c>
      <c r="H20" s="31" t="s">
        <v>51</v>
      </c>
      <c r="I20" s="430" t="s">
        <v>51</v>
      </c>
      <c r="J20" s="430" t="s">
        <v>51</v>
      </c>
      <c r="K20" s="334" t="s">
        <v>51</v>
      </c>
      <c r="L20" s="430" t="s">
        <v>51</v>
      </c>
      <c r="M20" s="430" t="s">
        <v>51</v>
      </c>
      <c r="N20" s="31" t="s">
        <v>51</v>
      </c>
      <c r="O20" s="794"/>
      <c r="P20" s="31" t="s">
        <v>51</v>
      </c>
      <c r="Q20" s="789"/>
      <c r="R20" s="31" t="s">
        <v>51</v>
      </c>
      <c r="S20" s="31" t="s">
        <v>51</v>
      </c>
      <c r="T20" s="794"/>
      <c r="U20" s="31" t="s">
        <v>51</v>
      </c>
      <c r="V20" s="428" t="s">
        <v>51</v>
      </c>
      <c r="W20" s="748"/>
      <c r="X20" s="430" t="s">
        <v>51</v>
      </c>
      <c r="Y20" s="748"/>
      <c r="Z20" s="31" t="s">
        <v>51</v>
      </c>
      <c r="AA20" s="31">
        <f>ROUND(PnH75_Pe08*Belarus*(1-AA95),2)</f>
        <v>834</v>
      </c>
      <c r="AB20" s="31">
        <f>ROUND(PnH75_Pe07*Belarus*(1-AB95),2)</f>
        <v>717</v>
      </c>
      <c r="AC20" s="32" t="s">
        <v>51</v>
      </c>
      <c r="AD20" s="794"/>
      <c r="AE20" s="243" t="s">
        <v>51</v>
      </c>
      <c r="AF20" s="243" t="s">
        <v>51</v>
      </c>
      <c r="AG20" s="421" t="s">
        <v>51</v>
      </c>
      <c r="AH20" s="270" t="s">
        <v>51</v>
      </c>
      <c r="AI20" s="270" t="s">
        <v>51</v>
      </c>
      <c r="AJ20" s="270" t="s">
        <v>51</v>
      </c>
    </row>
    <row r="21" spans="1:36" ht="15.75" customHeight="1">
      <c r="A21" s="27" t="s">
        <v>114</v>
      </c>
      <c r="B21" s="28"/>
      <c r="C21" s="28"/>
      <c r="D21" s="28"/>
      <c r="E21" s="28"/>
      <c r="F21" s="28"/>
      <c r="G21" s="28"/>
      <c r="H21" s="28"/>
      <c r="I21" s="269"/>
      <c r="J21" s="466"/>
      <c r="K21" s="269"/>
      <c r="L21" s="464"/>
      <c r="M21" s="463"/>
      <c r="N21" s="28"/>
      <c r="O21" s="794"/>
      <c r="P21" s="28"/>
      <c r="Q21" s="789"/>
      <c r="R21" s="28"/>
      <c r="S21" s="28"/>
      <c r="T21" s="794"/>
      <c r="U21" s="28"/>
      <c r="V21" s="269"/>
      <c r="W21" s="748"/>
      <c r="X21" s="269"/>
      <c r="Y21" s="748"/>
      <c r="Z21" s="28"/>
      <c r="AA21" s="28"/>
      <c r="AB21" s="28"/>
      <c r="AC21" s="28"/>
      <c r="AD21" s="794"/>
      <c r="AE21" s="28"/>
      <c r="AF21" s="28"/>
      <c r="AG21" s="269"/>
      <c r="AH21" s="271"/>
      <c r="AI21" s="271"/>
      <c r="AJ21" s="271"/>
    </row>
    <row r="22" spans="1:36" ht="25.5">
      <c r="A22" s="37" t="s">
        <v>1511</v>
      </c>
      <c r="B22" s="33" t="s">
        <v>110</v>
      </c>
      <c r="C22" s="49" t="s">
        <v>820</v>
      </c>
      <c r="D22" s="31">
        <f>ROUND(List_Ptdp*Belarus*(1-D95),2)</f>
        <v>776</v>
      </c>
      <c r="E22" s="31">
        <f>ROUND(List_Pt*Belarus*(1-D95),2)</f>
        <v>644</v>
      </c>
      <c r="F22" s="31">
        <f>ROUND(List_Sf*Belarus*(1-C95),2)</f>
        <v>675</v>
      </c>
      <c r="G22" s="31">
        <f>ROUND(List_Sf_a*Belarus*(1-D95),2)</f>
        <v>614</v>
      </c>
      <c r="H22" s="31">
        <f>ROUND(List_PtRF*Belarus*(1-H95),2)</f>
        <v>515</v>
      </c>
      <c r="I22" s="430">
        <f>ROUND(List_QproMatt*Belarus*(1-I95),2)</f>
        <v>747</v>
      </c>
      <c r="J22" s="430">
        <f>ROUND(List_Q*Belarus*(1-I95),2)</f>
        <v>741</v>
      </c>
      <c r="K22" s="334">
        <f>ROUND(List_Ql*Belarus*(1-I95),2)</f>
        <v>645</v>
      </c>
      <c r="L22" s="430" t="str">
        <f>ROUND(List_Vel*Belarus*(1-I95),2)&amp;" (1)"</f>
        <v>621 (1)</v>
      </c>
      <c r="M22" s="430">
        <f>ROUND(List_Atl*Belarus*(1-I95),2)</f>
        <v>567</v>
      </c>
      <c r="N22" s="31">
        <f>ROUND(List_PurMatt*Belarus*(1-N95),2)</f>
        <v>834</v>
      </c>
      <c r="O22" s="794"/>
      <c r="P22" s="31">
        <f>ROUND(List_Pur*Belarus*(1-P95),2)</f>
        <v>834</v>
      </c>
      <c r="Q22" s="789"/>
      <c r="R22" s="31">
        <f>ROUND(List_PurLiteMatt*Belarus*(1-R96),2)</f>
        <v>512</v>
      </c>
      <c r="S22" s="31">
        <f>ROUND(List_StBarhat*Belarus*(1-S96),2)</f>
        <v>510</v>
      </c>
      <c r="T22" s="794"/>
      <c r="U22" s="31">
        <f>ROUND(List_SatMatt*Belarus*(1-U96),2)</f>
        <v>489</v>
      </c>
      <c r="V22" s="428">
        <f>ROUND(List_Dr*Belarus*(1-V96),2)</f>
        <v>389</v>
      </c>
      <c r="W22" s="748"/>
      <c r="X22" s="430">
        <f>ROUND(List_Sat*Belarus*(1-X96),2)</f>
        <v>362</v>
      </c>
      <c r="Y22" s="748"/>
      <c r="Z22" s="31">
        <f>ROUND(List_PEdp*Belarus*(1-Z96),2)</f>
        <v>353</v>
      </c>
      <c r="AA22" s="31">
        <f>ROUND(List_Pe08*Belarus*(1-AA96),2)</f>
        <v>531</v>
      </c>
      <c r="AB22" s="31">
        <f>ROUND(List_Pe07*Belarus*(1-AB96),2)</f>
        <v>459</v>
      </c>
      <c r="AC22" s="32">
        <f>ROUND(List_Pe045*Belarus*(1-AC96),2)</f>
        <v>327</v>
      </c>
      <c r="AD22" s="794"/>
      <c r="AE22" s="243">
        <f>ROUND(List_Pe04*Belarus*(1-AE96),2)</f>
        <v>252</v>
      </c>
      <c r="AF22" s="243">
        <f>ROUND(List_PeMatt04*Belarus*(1-AF96),2)</f>
        <v>373</v>
      </c>
      <c r="AG22" s="484">
        <f>ROUND(List_dachPr*Belarus*(1-AG96),2)</f>
        <v>237</v>
      </c>
      <c r="AH22" s="419" t="s">
        <v>51</v>
      </c>
      <c r="AI22" s="407" t="s">
        <v>51</v>
      </c>
      <c r="AJ22" s="407" t="s">
        <v>51</v>
      </c>
    </row>
    <row r="23" spans="1:36" ht="15" customHeight="1">
      <c r="A23" s="27" t="s">
        <v>64</v>
      </c>
      <c r="B23" s="28"/>
      <c r="C23" s="28"/>
      <c r="D23" s="28"/>
      <c r="E23" s="28"/>
      <c r="F23" s="28"/>
      <c r="G23" s="28"/>
      <c r="H23" s="28"/>
      <c r="I23" s="269"/>
      <c r="J23" s="473"/>
      <c r="K23" s="473"/>
      <c r="L23" s="466"/>
      <c r="M23" s="473"/>
      <c r="N23" s="28"/>
      <c r="O23" s="794"/>
      <c r="P23" s="28"/>
      <c r="Q23" s="789"/>
      <c r="R23" s="28"/>
      <c r="S23" s="28"/>
      <c r="T23" s="794"/>
      <c r="U23" s="28"/>
      <c r="V23" s="269"/>
      <c r="W23" s="748"/>
      <c r="X23" s="269"/>
      <c r="Y23" s="748"/>
      <c r="Z23" s="28"/>
      <c r="AA23" s="28"/>
      <c r="AB23" s="28"/>
      <c r="AC23" s="28"/>
      <c r="AD23" s="794"/>
      <c r="AE23" s="28"/>
      <c r="AF23" s="28"/>
      <c r="AG23" s="269"/>
      <c r="AH23" s="271"/>
      <c r="AI23" s="271"/>
      <c r="AJ23" s="271"/>
    </row>
    <row r="24" spans="1:36" ht="15" customHeight="1">
      <c r="A24" s="37" t="s">
        <v>65</v>
      </c>
      <c r="B24" s="33" t="s">
        <v>118</v>
      </c>
      <c r="C24" s="404" t="s">
        <v>1919</v>
      </c>
      <c r="D24" s="31">
        <f>ROUND(Shtaket_MP_Ptdp*Belarus*(1-D97),2)</f>
        <v>122</v>
      </c>
      <c r="E24" s="31">
        <f>ROUND(Shtaket_MP_Pt*Belarus*(1-D97),2)</f>
        <v>94</v>
      </c>
      <c r="F24" s="31">
        <f>ROUND(Shtaket_MP_Sf*Belarus*(1-C97),2)</f>
        <v>120</v>
      </c>
      <c r="G24" s="31">
        <f>ROUND(Shtaket_MP_Sf_a*Belarus*(1-D97),2)</f>
        <v>109</v>
      </c>
      <c r="H24" s="31">
        <f>ROUND(Shtaket_MP_PtRF*Belarus*(1-D97),2)</f>
        <v>83</v>
      </c>
      <c r="I24" s="430">
        <f>ROUND(Shtaket_MP_QproMatt*Belarus*(1-D97),2)</f>
        <v>125</v>
      </c>
      <c r="J24" s="430">
        <f>ROUND(Shtaket_MP_Q*Belarus*(1-D97),2)</f>
        <v>123</v>
      </c>
      <c r="K24" s="431">
        <f>ROUND(Shtaket_MP_Ql*Belarus*(1-D97),2)</f>
        <v>120</v>
      </c>
      <c r="L24" s="431">
        <f>ROUND(Shtaket_MP_Vel*Belarus*(1-D97),2)</f>
        <v>115</v>
      </c>
      <c r="M24" s="430">
        <f>ROUND(Shtaket_MP_Atl*Belarus*(1-D97),2)</f>
        <v>101</v>
      </c>
      <c r="N24" s="31">
        <f>ROUND(Shtaket_MP_PurMatt*Belarus*(1-C97),2)</f>
        <v>151</v>
      </c>
      <c r="O24" s="794"/>
      <c r="P24" s="31">
        <f>ROUND(Shtaket_MP_Pur*Belarus*(1-D97),2)</f>
        <v>151</v>
      </c>
      <c r="Q24" s="789"/>
      <c r="R24" s="31">
        <f>ROUND(Shtaket_MP_PurLiteMatt*Belarus*(1-D97),2)</f>
        <v>104</v>
      </c>
      <c r="S24" s="31">
        <f>ROUND(Shtaket_MP_StBarhat*Belarus*(1-E97),2)</f>
        <v>103</v>
      </c>
      <c r="T24" s="794"/>
      <c r="U24" s="31">
        <f>ROUND(Shtaket_MP_SatMatt*Belarus*(1-D97),2)</f>
        <v>94</v>
      </c>
      <c r="V24" s="428">
        <f>ROUND(Shtaket_MP_Dr*Belarus*(1-D97),2)</f>
        <v>79</v>
      </c>
      <c r="W24" s="748"/>
      <c r="X24" s="430">
        <f>ROUND(Shtaket_MP_Sat*Belarus*(1-D97),2)</f>
        <v>67</v>
      </c>
      <c r="Y24" s="748"/>
      <c r="Z24" s="31">
        <f>ROUND(Shtaket_MP_PEdp*Belarus*(1-D97),2)</f>
        <v>64</v>
      </c>
      <c r="AA24" s="31" t="s">
        <v>51</v>
      </c>
      <c r="AB24" s="31" t="s">
        <v>51</v>
      </c>
      <c r="AC24" s="32">
        <f>ROUND(Shtaket_MP_Pe045*Belarus*(1-D97),2)</f>
        <v>57</v>
      </c>
      <c r="AD24" s="794"/>
      <c r="AE24" s="243">
        <f>ROUND(Shtaket_MP_Pe04*Belarus*(1-D97),2)</f>
        <v>48</v>
      </c>
      <c r="AF24" s="243">
        <f>ROUND(Shtaket_MP_PeMatt04*Belarus*(1-D97),2)</f>
        <v>78</v>
      </c>
      <c r="AG24" s="353" t="s">
        <v>51</v>
      </c>
      <c r="AH24" s="352" t="s">
        <v>51</v>
      </c>
      <c r="AI24" s="407" t="s">
        <v>51</v>
      </c>
      <c r="AJ24" s="407" t="s">
        <v>51</v>
      </c>
    </row>
    <row r="25" spans="1:36" ht="15" customHeight="1">
      <c r="A25" s="37" t="s">
        <v>66</v>
      </c>
      <c r="B25" s="33" t="s">
        <v>118</v>
      </c>
      <c r="C25" s="404" t="s">
        <v>1919</v>
      </c>
      <c r="D25" s="31">
        <f>ROUND(Shtaket_MPf_Ptdp*Belarus*(1-D97),2)</f>
        <v>126</v>
      </c>
      <c r="E25" s="31">
        <f>ROUND(Shtaket_MPf_Pt*Belarus*(1-D97),2)</f>
        <v>98</v>
      </c>
      <c r="F25" s="31">
        <f>ROUND(Shtaket_MPf_Sf*Belarus*(1-C97),2)</f>
        <v>124</v>
      </c>
      <c r="G25" s="31">
        <f>ROUND(Shtaket_MPf_Sf_a*Belarus*(1-D97),2)</f>
        <v>113</v>
      </c>
      <c r="H25" s="31">
        <f>ROUND(Shtaket_MPf_PtRF*Belarus*(1-D97),2)</f>
        <v>87</v>
      </c>
      <c r="I25" s="430">
        <f>ROUND(Shtaket_MPf_QproMatt*Belarus*(1-D97),2)</f>
        <v>130</v>
      </c>
      <c r="J25" s="430">
        <f>ROUND(Shtaket_MPf_Q*Belarus*(1-D97),2)</f>
        <v>128</v>
      </c>
      <c r="K25" s="431">
        <f>ROUND(Shtaket_MPf_Ql*Belarus*(1-D97),2)</f>
        <v>125</v>
      </c>
      <c r="L25" s="431">
        <f>ROUND(Shtaket_MPf_Vel*Belarus*(1-D97),2)</f>
        <v>120</v>
      </c>
      <c r="M25" s="430">
        <f>ROUND(Shtaket_MPf_Atl*Belarus*(1-D97),2)</f>
        <v>106</v>
      </c>
      <c r="N25" s="31">
        <f>ROUND(Shtaket_MPf_PurMatt*Belarus*(1-C97),2)</f>
        <v>155</v>
      </c>
      <c r="O25" s="794"/>
      <c r="P25" s="31">
        <f>ROUND(Shtaket_MPf_Pur*Belarus*(1-D97),2)</f>
        <v>155</v>
      </c>
      <c r="Q25" s="789"/>
      <c r="R25" s="31">
        <f>ROUND(Shtaket_MPf_PurLiteMatt*Belarus*(1-D97),2)</f>
        <v>108</v>
      </c>
      <c r="S25" s="31">
        <f>ROUND(Shtaket_MPf_StBarhat*Belarus*(1-E97),2)</f>
        <v>107</v>
      </c>
      <c r="T25" s="794"/>
      <c r="U25" s="31">
        <f>ROUND(Shtaket_MPf_SatMatt*Belarus*(1-D97),2)</f>
        <v>98</v>
      </c>
      <c r="V25" s="428">
        <f>ROUND(Shtaket_MPf_Dr*Belarus*(1-D97),2)</f>
        <v>83</v>
      </c>
      <c r="W25" s="748"/>
      <c r="X25" s="430">
        <f>ROUND(Shtaket_MPf_Sat*Belarus*(1-D97),2)</f>
        <v>71</v>
      </c>
      <c r="Y25" s="748"/>
      <c r="Z25" s="31">
        <f>ROUND(Shtaket_MPf_PEdp*Belarus*(1-D97),2)</f>
        <v>68</v>
      </c>
      <c r="AA25" s="31" t="s">
        <v>51</v>
      </c>
      <c r="AB25" s="31" t="s">
        <v>51</v>
      </c>
      <c r="AC25" s="32">
        <f>ROUND(Shtaket_MPf_Pe045*Belarus*(1-D97),2)</f>
        <v>61</v>
      </c>
      <c r="AD25" s="794"/>
      <c r="AE25" s="243">
        <f>ROUND(Shtaket_MPf_Pe04*Belarus*(1-D97),2)</f>
        <v>52</v>
      </c>
      <c r="AF25" s="243">
        <f>ROUND(Shtaket_MPf_PeMatt04*Belarus*(1-D97),2)</f>
        <v>82</v>
      </c>
      <c r="AG25" s="34" t="s">
        <v>51</v>
      </c>
      <c r="AH25" s="56" t="s">
        <v>51</v>
      </c>
      <c r="AI25" s="56" t="s">
        <v>51</v>
      </c>
      <c r="AJ25" s="56" t="s">
        <v>51</v>
      </c>
    </row>
    <row r="26" spans="1:36" ht="15" customHeight="1">
      <c r="A26" s="37" t="s">
        <v>1844</v>
      </c>
      <c r="B26" s="33" t="s">
        <v>118</v>
      </c>
      <c r="C26" s="414" t="s">
        <v>1919</v>
      </c>
      <c r="D26" s="31">
        <f>ROUND(Shtaket_Tw_Ptdp*Belarus*(1-D98),2)</f>
        <v>127</v>
      </c>
      <c r="E26" s="31">
        <f>ROUND(Shtaket_Tw_Pt*Belarus*(1-D98),2)</f>
        <v>99</v>
      </c>
      <c r="F26" s="31">
        <f>ROUND(Shtaket_Tw_Sf*Belarus*(1-C98),2)</f>
        <v>125</v>
      </c>
      <c r="G26" s="31">
        <f>ROUND(Shtaket_Tw_Sf_a*Belarus*(1-D98),2)</f>
        <v>114</v>
      </c>
      <c r="H26" s="31">
        <f>ROUND(Shtaket_Tw_PtRF*Belarus*(1-D98),2)</f>
        <v>88</v>
      </c>
      <c r="I26" s="430" t="s">
        <v>51</v>
      </c>
      <c r="J26" s="430" t="s">
        <v>51</v>
      </c>
      <c r="K26" s="431" t="s">
        <v>51</v>
      </c>
      <c r="L26" s="431" t="s">
        <v>51</v>
      </c>
      <c r="M26" s="430" t="s">
        <v>51</v>
      </c>
      <c r="N26" s="31" t="s">
        <v>51</v>
      </c>
      <c r="O26" s="794"/>
      <c r="P26" s="31" t="s">
        <v>51</v>
      </c>
      <c r="Q26" s="789"/>
      <c r="R26" s="31" t="s">
        <v>51</v>
      </c>
      <c r="S26" s="31" t="s">
        <v>51</v>
      </c>
      <c r="T26" s="794"/>
      <c r="U26" s="31" t="s">
        <v>51</v>
      </c>
      <c r="V26" s="428">
        <f>ROUND(Shtaket_Tw_Dr*Belarus*(1-D98),2)</f>
        <v>84</v>
      </c>
      <c r="W26" s="748"/>
      <c r="X26" s="430" t="s">
        <v>51</v>
      </c>
      <c r="Y26" s="748"/>
      <c r="Z26" s="31">
        <f>ROUND(Shtaket_Tw_PEdp*Belarus*(1-D98),2)</f>
        <v>69</v>
      </c>
      <c r="AA26" s="31" t="s">
        <v>51</v>
      </c>
      <c r="AB26" s="31" t="s">
        <v>51</v>
      </c>
      <c r="AC26" s="32">
        <f>ROUND(Shtaket_Tw_Pe045*Belarus*(1-D98),2)</f>
        <v>62</v>
      </c>
      <c r="AD26" s="794"/>
      <c r="AE26" s="243" t="s">
        <v>51</v>
      </c>
      <c r="AF26" s="243" t="s">
        <v>51</v>
      </c>
      <c r="AG26" s="34" t="s">
        <v>51</v>
      </c>
      <c r="AH26" s="56" t="s">
        <v>51</v>
      </c>
      <c r="AI26" s="56" t="s">
        <v>51</v>
      </c>
      <c r="AJ26" s="56" t="s">
        <v>51</v>
      </c>
    </row>
    <row r="27" spans="1:36" ht="15" customHeight="1">
      <c r="A27" s="37" t="s">
        <v>1845</v>
      </c>
      <c r="B27" s="33" t="s">
        <v>118</v>
      </c>
      <c r="C27" s="414" t="s">
        <v>1919</v>
      </c>
      <c r="D27" s="31">
        <f>ROUND(Shtaket_Twf_Ptdp*Belarus*(1-D98),2)</f>
        <v>131</v>
      </c>
      <c r="E27" s="31">
        <f>ROUND(Shtaket_Twf_Pt*Belarus*(1-D98),2)</f>
        <v>103</v>
      </c>
      <c r="F27" s="31">
        <f>ROUND(Shtaket_Twf_Sf*Belarus*(1-C98),2)</f>
        <v>129</v>
      </c>
      <c r="G27" s="31">
        <f>ROUND(Shtaket_Twf_Sf_a*Belarus*(1-D98),2)</f>
        <v>118</v>
      </c>
      <c r="H27" s="31">
        <f>ROUND(Shtaket_Twf_PtRF*Belarus*(1-D98),2)</f>
        <v>92</v>
      </c>
      <c r="I27" s="430" t="s">
        <v>51</v>
      </c>
      <c r="J27" s="430" t="s">
        <v>51</v>
      </c>
      <c r="K27" s="431" t="s">
        <v>51</v>
      </c>
      <c r="L27" s="431" t="s">
        <v>51</v>
      </c>
      <c r="M27" s="430" t="s">
        <v>51</v>
      </c>
      <c r="N27" s="31" t="s">
        <v>51</v>
      </c>
      <c r="O27" s="794"/>
      <c r="P27" s="31" t="s">
        <v>51</v>
      </c>
      <c r="Q27" s="789"/>
      <c r="R27" s="31" t="s">
        <v>51</v>
      </c>
      <c r="S27" s="31" t="s">
        <v>51</v>
      </c>
      <c r="T27" s="794"/>
      <c r="U27" s="31" t="s">
        <v>51</v>
      </c>
      <c r="V27" s="428">
        <f>ROUND(Shtaket_Twf_Dr*Belarus*(1-D98),2)</f>
        <v>88</v>
      </c>
      <c r="W27" s="748"/>
      <c r="X27" s="430" t="s">
        <v>51</v>
      </c>
      <c r="Y27" s="748"/>
      <c r="Z27" s="31">
        <f>ROUND(Shtaket_Twf_PEdp*Belarus*(1-D98),2)</f>
        <v>73</v>
      </c>
      <c r="AA27" s="31" t="s">
        <v>51</v>
      </c>
      <c r="AB27" s="31" t="s">
        <v>51</v>
      </c>
      <c r="AC27" s="32">
        <f>ROUND(Shtaket_Twf_Pe045*Belarus*(1-D98),2)</f>
        <v>66</v>
      </c>
      <c r="AD27" s="794"/>
      <c r="AE27" s="243" t="s">
        <v>51</v>
      </c>
      <c r="AF27" s="243" t="s">
        <v>51</v>
      </c>
      <c r="AG27" s="34" t="s">
        <v>51</v>
      </c>
      <c r="AH27" s="56" t="s">
        <v>51</v>
      </c>
      <c r="AI27" s="56" t="s">
        <v>51</v>
      </c>
      <c r="AJ27" s="56" t="s">
        <v>51</v>
      </c>
    </row>
    <row r="28" spans="1:36" ht="15" customHeight="1">
      <c r="A28" s="37" t="s">
        <v>2077</v>
      </c>
      <c r="B28" s="33" t="s">
        <v>2076</v>
      </c>
      <c r="C28" s="426" t="s">
        <v>2075</v>
      </c>
      <c r="D28" s="31">
        <f>ROUND(Shtaket_Pk_Ptdp*Belarus*(1-D98),2)</f>
        <v>137</v>
      </c>
      <c r="E28" s="31">
        <f>ROUND(Shtaket_Pk_Pt*Belarus*(1-D98),2)</f>
        <v>108</v>
      </c>
      <c r="F28" s="31">
        <f>ROUND(Shtaket_Pk_Sf*Belarus*(1-C98),2)</f>
        <v>134</v>
      </c>
      <c r="G28" s="31">
        <f>ROUND(Shtaket_Pk_Sf_a*Belarus*(1-D98),2)</f>
        <v>123</v>
      </c>
      <c r="H28" s="31">
        <f>ROUND(Shtaket_Pk_PtRF*Belarus*(1-D98),2)</f>
        <v>97</v>
      </c>
      <c r="I28" s="430">
        <f>ROUND(Shtaket_Pk_QproMatt*Belarus*(1-D98),2)</f>
        <v>146</v>
      </c>
      <c r="J28" s="430">
        <f>ROUND(Shtaket_Pk_Q*Belarus*(1-D98),2)</f>
        <v>144</v>
      </c>
      <c r="K28" s="431">
        <f>ROUND(Shtaket_Pk_Ql*Belarus*(1-D98),2)</f>
        <v>141</v>
      </c>
      <c r="L28" s="431">
        <f>ROUND(Shtaket_Pk_Vel*Belarus*(1-D98),2)</f>
        <v>138</v>
      </c>
      <c r="M28" s="430">
        <f>ROUND(Shtaket_Pk_Atl*Belarus*(1-D98),2)</f>
        <v>122</v>
      </c>
      <c r="N28" s="31">
        <f>ROUND(Shtaket_Pk_PurMatt*Belarus*(1-D98),2)</f>
        <v>170</v>
      </c>
      <c r="O28" s="794"/>
      <c r="P28" s="31">
        <f>ROUND(Shtaket_Pk_Pur*Belarus*(1-D98),2)</f>
        <v>170</v>
      </c>
      <c r="Q28" s="789"/>
      <c r="R28" s="31">
        <f>ROUND(Shtaket_Pk_PurLiteMatt*Belarus*(1-D98),2)</f>
        <v>123</v>
      </c>
      <c r="S28" s="31">
        <f>ROUND(Shtaket_Pk_StBarhat*Belarus*(1-D98),2)</f>
        <v>122</v>
      </c>
      <c r="T28" s="794"/>
      <c r="U28" s="31">
        <f>ROUND(Shtaket_Pk_SatMatt*Belarus*(1-D98),2)</f>
        <v>112</v>
      </c>
      <c r="V28" s="428">
        <f>ROUND(Shtaket_Pk_Dr*Belarus*(1-D98),2)</f>
        <v>93</v>
      </c>
      <c r="W28" s="748"/>
      <c r="X28" s="430">
        <f>ROUND(Shtaket_Pk_Sat*Belarus*(1-D98),2)</f>
        <v>81</v>
      </c>
      <c r="Y28" s="748"/>
      <c r="Z28" s="31">
        <f>ROUND(Shtaket_Pk_PEdp*Belarus*(1-D98),2)</f>
        <v>77</v>
      </c>
      <c r="AA28" s="31" t="s">
        <v>51</v>
      </c>
      <c r="AB28" s="31" t="s">
        <v>51</v>
      </c>
      <c r="AC28" s="32">
        <f>ROUND(Shtaket_Pk_Pe045*Belarus*(1-D98),2)</f>
        <v>70</v>
      </c>
      <c r="AD28" s="794"/>
      <c r="AE28" s="243">
        <f>ROUND(Shtaket_Pk_Pe04*Belarus*(1-D98),2)</f>
        <v>62</v>
      </c>
      <c r="AF28" s="243">
        <f>ROUND(Shtaket_Pk_PeMatt04*Belarus*(1-D98),2)</f>
        <v>92</v>
      </c>
      <c r="AG28" s="34" t="s">
        <v>51</v>
      </c>
      <c r="AH28" s="56" t="s">
        <v>51</v>
      </c>
      <c r="AI28" s="56" t="s">
        <v>51</v>
      </c>
      <c r="AJ28" s="56" t="s">
        <v>51</v>
      </c>
    </row>
    <row r="29" spans="1:36" ht="15" customHeight="1">
      <c r="A29" s="109" t="s">
        <v>2078</v>
      </c>
      <c r="B29" s="33" t="s">
        <v>2076</v>
      </c>
      <c r="C29" s="426" t="s">
        <v>2075</v>
      </c>
      <c r="D29" s="31">
        <f>ROUND(Shtaket_Pkf_Ptdp*Belarus*(1-D98),2)</f>
        <v>141</v>
      </c>
      <c r="E29" s="31">
        <f>ROUND(Shtaket_Pkf_Pt*Belarus*(1-D98),2)</f>
        <v>112</v>
      </c>
      <c r="F29" s="31">
        <f>ROUND(Shtaket_Pkf_Sf*Belarus*(1-C98),2)</f>
        <v>138</v>
      </c>
      <c r="G29" s="31">
        <f>ROUND(Shtaket_Pkf_Sf_a*Belarus*(1-D98),2)</f>
        <v>127</v>
      </c>
      <c r="H29" s="31">
        <f>ROUND(Shtaket_Pkf_PtRF*Belarus*(1-D98),2)</f>
        <v>101</v>
      </c>
      <c r="I29" s="430">
        <f>ROUND(Shtaket_Pkf_QproMatt*Belarus*(1-D98),2)</f>
        <v>150</v>
      </c>
      <c r="J29" s="430">
        <f>ROUND(Shtaket_Pkf_Q*Belarus*(1-D98),2)</f>
        <v>148</v>
      </c>
      <c r="K29" s="431">
        <f>ROUND(Shtaket_Pkf_Ql*Belarus*(1-D98),2)</f>
        <v>145</v>
      </c>
      <c r="L29" s="431">
        <f>ROUND(Shtaket_Pkf_Vel*Belarus*(1-D98),2)</f>
        <v>141</v>
      </c>
      <c r="M29" s="430">
        <f>ROUND(Shtaket_Pkf_Atl*Belarus*(1-D98),2)</f>
        <v>126</v>
      </c>
      <c r="N29" s="31">
        <f>ROUND(Shtaket_Pkf_PurMatt*Belarus*(1-D98),2)</f>
        <v>174</v>
      </c>
      <c r="O29" s="794"/>
      <c r="P29" s="31">
        <f>ROUND(Shtaket_Pkf_Pur*Belarus*(1-D98),2)</f>
        <v>174</v>
      </c>
      <c r="Q29" s="789"/>
      <c r="R29" s="31">
        <f>ROUND(Shtaket_Pkf_PurLiteMatt*Belarus*(1-D98),2)</f>
        <v>127</v>
      </c>
      <c r="S29" s="31">
        <f>ROUND(Shtaket_Pkf_StBarhat*Belarus*(1-D98),2)</f>
        <v>126</v>
      </c>
      <c r="T29" s="794"/>
      <c r="U29" s="31">
        <f>ROUND(Shtaket_Pkf_SatMatt*Belarus*(1-D98),2)</f>
        <v>116</v>
      </c>
      <c r="V29" s="428">
        <f>ROUND(Shtaket_Pkf_Dr*Belarus*(1-D98),2)</f>
        <v>97</v>
      </c>
      <c r="W29" s="748"/>
      <c r="X29" s="430">
        <f>ROUND(Shtaket_Pkf_Sat*Belarus*(1-D98),2)</f>
        <v>85</v>
      </c>
      <c r="Y29" s="748"/>
      <c r="Z29" s="31">
        <f>ROUND(Shtaket_Pkf_PEdp*Belarus*(1-D98),2)</f>
        <v>81</v>
      </c>
      <c r="AA29" s="31" t="s">
        <v>51</v>
      </c>
      <c r="AB29" s="31" t="s">
        <v>51</v>
      </c>
      <c r="AC29" s="32">
        <f>ROUND(Shtaket_Pkf_Pe045*Belarus*(1-D98),2)</f>
        <v>73</v>
      </c>
      <c r="AD29" s="794"/>
      <c r="AE29" s="243">
        <f>ROUND(Shtaket_Pkf_Pe04*Belarus*(1-D98),2)</f>
        <v>64</v>
      </c>
      <c r="AF29" s="243">
        <f>ROUND(Shtaket_Pkf_PeMatt04*Belarus*(1-D98),2)</f>
        <v>96</v>
      </c>
      <c r="AG29" s="34" t="s">
        <v>51</v>
      </c>
      <c r="AH29" s="56" t="s">
        <v>51</v>
      </c>
      <c r="AI29" s="56" t="s">
        <v>51</v>
      </c>
      <c r="AJ29" s="56" t="s">
        <v>51</v>
      </c>
    </row>
    <row r="30" spans="1:36" ht="15" customHeight="1">
      <c r="A30" s="37" t="s">
        <v>17</v>
      </c>
      <c r="B30" s="33" t="s">
        <v>119</v>
      </c>
      <c r="C30" s="404" t="s">
        <v>67</v>
      </c>
      <c r="D30" s="791" t="str">
        <f>ROUND(Shtaket_Kr_Ptdp*Belarus*(1-D99),2)&amp;" руб. в покрытии Print 0,45двс"</f>
        <v>137 руб. в покрытии Print 0,45двс</v>
      </c>
      <c r="E30" s="792"/>
      <c r="F30" s="792"/>
      <c r="G30" s="793"/>
      <c r="H30" s="31" t="s">
        <v>51</v>
      </c>
      <c r="I30" s="430" t="s">
        <v>51</v>
      </c>
      <c r="J30" s="430" t="s">
        <v>51</v>
      </c>
      <c r="K30" s="431" t="s">
        <v>51</v>
      </c>
      <c r="L30" s="431">
        <f>ROUND(Shtaket_Kr_Vel*Belarus*(1-D99),2)</f>
        <v>138</v>
      </c>
      <c r="M30" s="430" t="s">
        <v>51</v>
      </c>
      <c r="N30" s="31" t="s">
        <v>51</v>
      </c>
      <c r="O30" s="794"/>
      <c r="P30" s="31" t="s">
        <v>51</v>
      </c>
      <c r="Q30" s="789"/>
      <c r="R30" s="52" t="s">
        <v>51</v>
      </c>
      <c r="S30" s="52" t="s">
        <v>51</v>
      </c>
      <c r="T30" s="794"/>
      <c r="U30" s="52" t="s">
        <v>51</v>
      </c>
      <c r="V30" s="427" t="s">
        <v>51</v>
      </c>
      <c r="W30" s="748"/>
      <c r="X30" s="434" t="s">
        <v>51</v>
      </c>
      <c r="Y30" s="748"/>
      <c r="Z30" s="52">
        <f>ROUND(Shtaket_Kr_PEdp*Belarus*(1-D99),2)</f>
        <v>77</v>
      </c>
      <c r="AA30" s="31" t="s">
        <v>51</v>
      </c>
      <c r="AB30" s="31" t="s">
        <v>51</v>
      </c>
      <c r="AC30" s="32">
        <f>ROUND(Shtaket_Kr_Pe045*Belarus*(1-D99),2)</f>
        <v>70</v>
      </c>
      <c r="AD30" s="794"/>
      <c r="AE30" s="243">
        <f>ROUND(Shtaket_Kr_Pe04*Belarus*(1-B970),2)</f>
        <v>62</v>
      </c>
      <c r="AF30" s="243" t="s">
        <v>51</v>
      </c>
      <c r="AG30" s="34" t="s">
        <v>51</v>
      </c>
      <c r="AH30" s="56" t="s">
        <v>51</v>
      </c>
      <c r="AI30" s="56" t="s">
        <v>51</v>
      </c>
      <c r="AJ30" s="56" t="s">
        <v>51</v>
      </c>
    </row>
    <row r="31" spans="1:36" ht="15" customHeight="1">
      <c r="A31" s="37" t="s">
        <v>68</v>
      </c>
      <c r="B31" s="33" t="s">
        <v>119</v>
      </c>
      <c r="C31" s="33" t="s">
        <v>67</v>
      </c>
      <c r="D31" s="791" t="str">
        <f>ROUND(Shtaket_Krf_Ptdp*Belarus*(1-D99),2)&amp;" руб. в покрытии Print 0,45двс"</f>
        <v>141 руб. в покрытии Print 0,45двс</v>
      </c>
      <c r="E31" s="792"/>
      <c r="F31" s="792"/>
      <c r="G31" s="793"/>
      <c r="H31" s="31" t="s">
        <v>51</v>
      </c>
      <c r="I31" s="430" t="s">
        <v>51</v>
      </c>
      <c r="J31" s="430" t="s">
        <v>51</v>
      </c>
      <c r="K31" s="431" t="s">
        <v>51</v>
      </c>
      <c r="L31" s="431">
        <f>ROUND(Shtaket_Krf_Vel*Belarus*(1-D99),2)</f>
        <v>141</v>
      </c>
      <c r="M31" s="430" t="s">
        <v>51</v>
      </c>
      <c r="N31" s="31" t="s">
        <v>51</v>
      </c>
      <c r="O31" s="794"/>
      <c r="P31" s="31" t="s">
        <v>51</v>
      </c>
      <c r="Q31" s="789"/>
      <c r="R31" s="31" t="s">
        <v>51</v>
      </c>
      <c r="S31" s="31" t="s">
        <v>51</v>
      </c>
      <c r="T31" s="794"/>
      <c r="U31" s="31" t="s">
        <v>51</v>
      </c>
      <c r="V31" s="428" t="s">
        <v>51</v>
      </c>
      <c r="W31" s="748"/>
      <c r="X31" s="428" t="s">
        <v>51</v>
      </c>
      <c r="Y31" s="748"/>
      <c r="Z31" s="52">
        <f>ROUND(Shtaket_Krf_PEdp*Belarus*(1-D99),2)</f>
        <v>81</v>
      </c>
      <c r="AA31" s="31" t="s">
        <v>51</v>
      </c>
      <c r="AB31" s="31" t="s">
        <v>51</v>
      </c>
      <c r="AC31" s="32">
        <f>ROUND(Shtaket_Krf_Pe045*Belarus*(1-D99),2)</f>
        <v>73</v>
      </c>
      <c r="AD31" s="794"/>
      <c r="AE31" s="243">
        <f>ROUND(Shtaket_Krf_Pe04*Belarus*(1-D99),2)</f>
        <v>64</v>
      </c>
      <c r="AF31" s="243" t="s">
        <v>51</v>
      </c>
      <c r="AG31" s="34" t="s">
        <v>51</v>
      </c>
      <c r="AH31" s="56" t="s">
        <v>51</v>
      </c>
      <c r="AI31" s="56" t="s">
        <v>51</v>
      </c>
      <c r="AJ31" s="56" t="s">
        <v>51</v>
      </c>
    </row>
    <row r="32" spans="1:36" ht="15" customHeight="1">
      <c r="A32" s="30" t="s">
        <v>16</v>
      </c>
      <c r="B32" s="33" t="s">
        <v>120</v>
      </c>
      <c r="C32" s="33" t="s">
        <v>67</v>
      </c>
      <c r="D32" s="791" t="str">
        <f>ROUND(Shtaket_Pr_Ptdp*Belarus*(1-D99),2)&amp;" руб. в покрытии Print 0,45двс"</f>
        <v>137 руб. в покрытии Print 0,45двс</v>
      </c>
      <c r="E32" s="792"/>
      <c r="F32" s="792"/>
      <c r="G32" s="793"/>
      <c r="H32" s="31" t="s">
        <v>51</v>
      </c>
      <c r="I32" s="430" t="s">
        <v>51</v>
      </c>
      <c r="J32" s="430" t="s">
        <v>51</v>
      </c>
      <c r="K32" s="430" t="s">
        <v>51</v>
      </c>
      <c r="L32" s="430">
        <f>ROUND(Shtaket_Pr_Vel*Belarus*(1-D99),2)</f>
        <v>138</v>
      </c>
      <c r="M32" s="430" t="s">
        <v>51</v>
      </c>
      <c r="N32" s="31" t="s">
        <v>51</v>
      </c>
      <c r="O32" s="794"/>
      <c r="P32" s="31" t="s">
        <v>51</v>
      </c>
      <c r="Q32" s="789"/>
      <c r="R32" s="52" t="s">
        <v>51</v>
      </c>
      <c r="S32" s="52" t="s">
        <v>51</v>
      </c>
      <c r="T32" s="794"/>
      <c r="U32" s="52" t="s">
        <v>51</v>
      </c>
      <c r="V32" s="427" t="s">
        <v>51</v>
      </c>
      <c r="W32" s="748"/>
      <c r="X32" s="427" t="s">
        <v>51</v>
      </c>
      <c r="Y32" s="748"/>
      <c r="Z32" s="52">
        <f>ROUND(Shtaket_Pr_PEdp*Belarus*(1-D99),2)</f>
        <v>77</v>
      </c>
      <c r="AA32" s="31" t="s">
        <v>51</v>
      </c>
      <c r="AB32" s="31" t="s">
        <v>51</v>
      </c>
      <c r="AC32" s="32">
        <f>ROUND(Shtaket_Pr_Pe045*Belarus*(1-D99),2)</f>
        <v>70</v>
      </c>
      <c r="AD32" s="794"/>
      <c r="AE32" s="243">
        <f>ROUND(Shtaket_Pr_Pe04*Belarus*(1-D99),2)</f>
        <v>62</v>
      </c>
      <c r="AF32" s="243" t="s">
        <v>51</v>
      </c>
      <c r="AG32" s="34" t="s">
        <v>51</v>
      </c>
      <c r="AH32" s="56" t="s">
        <v>51</v>
      </c>
      <c r="AI32" s="56" t="s">
        <v>51</v>
      </c>
      <c r="AJ32" s="56" t="s">
        <v>51</v>
      </c>
    </row>
    <row r="33" spans="1:36" ht="15" customHeight="1">
      <c r="A33" s="30" t="s">
        <v>69</v>
      </c>
      <c r="B33" s="33" t="s">
        <v>120</v>
      </c>
      <c r="C33" s="33" t="s">
        <v>67</v>
      </c>
      <c r="D33" s="791" t="str">
        <f>ROUND(Shtaket_Prf_Ptdp*Belarus*(1-D99),2)&amp;" руб. в покрытии Print 0,45двс"</f>
        <v>141 руб. в покрытии Print 0,45двс</v>
      </c>
      <c r="E33" s="792"/>
      <c r="F33" s="792"/>
      <c r="G33" s="793"/>
      <c r="H33" s="31" t="s">
        <v>51</v>
      </c>
      <c r="I33" s="430" t="s">
        <v>51</v>
      </c>
      <c r="J33" s="430" t="s">
        <v>51</v>
      </c>
      <c r="K33" s="430" t="s">
        <v>51</v>
      </c>
      <c r="L33" s="430">
        <f>ROUND(Shtaket_Prf_Vel*Belarus*(1-D99),2)</f>
        <v>141</v>
      </c>
      <c r="M33" s="430" t="s">
        <v>51</v>
      </c>
      <c r="N33" s="31" t="s">
        <v>51</v>
      </c>
      <c r="O33" s="794"/>
      <c r="P33" s="31" t="s">
        <v>51</v>
      </c>
      <c r="Q33" s="790"/>
      <c r="R33" s="31" t="s">
        <v>51</v>
      </c>
      <c r="S33" s="31" t="s">
        <v>51</v>
      </c>
      <c r="T33" s="794"/>
      <c r="U33" s="31" t="s">
        <v>51</v>
      </c>
      <c r="V33" s="428" t="s">
        <v>51</v>
      </c>
      <c r="W33" s="748"/>
      <c r="X33" s="428" t="s">
        <v>51</v>
      </c>
      <c r="Y33" s="748"/>
      <c r="Z33" s="52">
        <f>ROUND(Shtaket_Prf_PEdp*Belarus*(1-D99),2)</f>
        <v>81</v>
      </c>
      <c r="AA33" s="31" t="s">
        <v>51</v>
      </c>
      <c r="AB33" s="31" t="s">
        <v>51</v>
      </c>
      <c r="AC33" s="31">
        <f>ROUND(Shtaket_Prf_Pe045*Belarus*(1-D99),2)</f>
        <v>73</v>
      </c>
      <c r="AD33" s="794"/>
      <c r="AE33" s="31">
        <f>ROUND(Shtaket_Prf_Pe04*Belarus*(1-D99),2)</f>
        <v>64</v>
      </c>
      <c r="AF33" s="243" t="s">
        <v>51</v>
      </c>
      <c r="AG33" s="34" t="s">
        <v>51</v>
      </c>
      <c r="AH33" s="34" t="s">
        <v>51</v>
      </c>
      <c r="AI33" s="34" t="s">
        <v>51</v>
      </c>
      <c r="AJ33" s="34" t="s">
        <v>51</v>
      </c>
    </row>
    <row r="34" spans="1:36" s="57" customFormat="1" ht="15" customHeight="1">
      <c r="A34" s="342"/>
      <c r="B34" s="22"/>
      <c r="C34" s="22"/>
      <c r="D34" s="236"/>
      <c r="E34" s="236"/>
      <c r="F34" s="236"/>
      <c r="G34" s="236"/>
      <c r="H34" s="45"/>
      <c r="I34" s="45"/>
      <c r="J34" s="45"/>
      <c r="K34" s="45"/>
      <c r="L34" s="45"/>
      <c r="M34" s="45"/>
      <c r="N34" s="45"/>
      <c r="O34" s="255"/>
      <c r="P34" s="45"/>
      <c r="Q34" s="343"/>
      <c r="R34" s="343"/>
      <c r="S34" s="45"/>
      <c r="T34" s="255"/>
      <c r="U34" s="45"/>
      <c r="V34" s="45"/>
      <c r="W34" s="255"/>
      <c r="X34" s="45"/>
      <c r="Y34" s="255"/>
      <c r="Z34" s="54"/>
      <c r="AA34" s="45"/>
      <c r="AB34" s="45"/>
      <c r="AC34" s="45"/>
      <c r="AD34" s="255"/>
      <c r="AE34" s="45"/>
      <c r="AF34" s="45"/>
      <c r="AG34" s="45"/>
      <c r="AH34" s="45"/>
    </row>
    <row r="35" spans="1:36" ht="18" customHeight="1" thickBot="1">
      <c r="A35" s="690" t="s">
        <v>1676</v>
      </c>
      <c r="B35" s="690"/>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90"/>
      <c r="AB35" s="76"/>
      <c r="AC35" s="76"/>
      <c r="AD35" s="76"/>
      <c r="AE35" s="76"/>
      <c r="AF35" s="79"/>
      <c r="AG35" s="753"/>
      <c r="AH35" s="753"/>
    </row>
    <row r="36" spans="1:36" ht="15" customHeight="1">
      <c r="A36" s="9"/>
      <c r="B36" s="9"/>
      <c r="AB36" s="12"/>
      <c r="AF36" s="3"/>
      <c r="AG36" s="410"/>
      <c r="AH36" s="411" t="s">
        <v>1705</v>
      </c>
      <c r="AI36" s="754">
        <v>43917</v>
      </c>
      <c r="AJ36" s="754"/>
    </row>
    <row r="37" spans="1:36" s="10" customFormat="1">
      <c r="A37" s="755" t="s">
        <v>14</v>
      </c>
      <c r="B37" s="755"/>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row>
    <row r="38" spans="1:36" s="10" customFormat="1" ht="12.75" customHeight="1">
      <c r="A38" s="803" t="s">
        <v>112</v>
      </c>
      <c r="B38" s="804" t="s">
        <v>1662</v>
      </c>
      <c r="C38" s="804"/>
      <c r="D38" s="804"/>
      <c r="E38" s="804"/>
      <c r="F38" s="804"/>
      <c r="G38" s="804"/>
      <c r="H38" s="804"/>
      <c r="I38" s="804"/>
      <c r="J38" s="804"/>
      <c r="K38" s="804"/>
      <c r="L38" s="804"/>
      <c r="M38" s="805"/>
      <c r="N38" s="685" t="s">
        <v>1663</v>
      </c>
      <c r="O38" s="804"/>
      <c r="P38" s="804"/>
      <c r="Q38" s="804"/>
      <c r="R38" s="804"/>
      <c r="S38" s="804"/>
      <c r="T38" s="804"/>
      <c r="U38" s="804"/>
      <c r="V38" s="804"/>
      <c r="W38" s="804"/>
      <c r="X38" s="804"/>
      <c r="Y38" s="804"/>
      <c r="Z38" s="804"/>
      <c r="AA38" s="804"/>
      <c r="AB38" s="804"/>
      <c r="AC38" s="804"/>
      <c r="AD38" s="804"/>
      <c r="AE38" s="674" t="s">
        <v>2137</v>
      </c>
      <c r="AF38" s="674" t="s">
        <v>1918</v>
      </c>
      <c r="AG38" s="743" t="s">
        <v>70</v>
      </c>
      <c r="AH38" s="743"/>
      <c r="AI38" s="743"/>
      <c r="AJ38" s="744"/>
    </row>
    <row r="39" spans="1:36" s="10" customFormat="1" ht="30" customHeight="1">
      <c r="A39" s="803"/>
      <c r="B39" s="82" t="s">
        <v>1479</v>
      </c>
      <c r="C39" s="82" t="s">
        <v>1478</v>
      </c>
      <c r="D39" s="82" t="s">
        <v>29</v>
      </c>
      <c r="E39" s="812" t="s">
        <v>1458</v>
      </c>
      <c r="F39" s="807"/>
      <c r="G39" s="808" t="s">
        <v>1401</v>
      </c>
      <c r="H39" s="808"/>
      <c r="I39" s="82" t="s">
        <v>108</v>
      </c>
      <c r="J39" s="82" t="s">
        <v>31</v>
      </c>
      <c r="K39" s="82" t="s">
        <v>32</v>
      </c>
      <c r="L39" s="82" t="s">
        <v>33</v>
      </c>
      <c r="M39" s="433" t="s">
        <v>36</v>
      </c>
      <c r="N39" s="807" t="s">
        <v>1668</v>
      </c>
      <c r="O39" s="808"/>
      <c r="P39" s="808" t="s">
        <v>1655</v>
      </c>
      <c r="Q39" s="808"/>
      <c r="R39" s="82" t="s">
        <v>1710</v>
      </c>
      <c r="S39" s="808" t="s">
        <v>760</v>
      </c>
      <c r="T39" s="808"/>
      <c r="U39" s="82" t="s">
        <v>1551</v>
      </c>
      <c r="V39" s="808" t="s">
        <v>34</v>
      </c>
      <c r="W39" s="808"/>
      <c r="X39" s="808" t="s">
        <v>35</v>
      </c>
      <c r="Y39" s="808"/>
      <c r="Z39" s="82" t="s">
        <v>1664</v>
      </c>
      <c r="AA39" s="808" t="s">
        <v>1665</v>
      </c>
      <c r="AB39" s="808"/>
      <c r="AC39" s="808" t="s">
        <v>1666</v>
      </c>
      <c r="AD39" s="808"/>
      <c r="AE39" s="675"/>
      <c r="AF39" s="675"/>
      <c r="AG39" s="745"/>
      <c r="AH39" s="745"/>
      <c r="AI39" s="745"/>
      <c r="AJ39" s="746"/>
    </row>
    <row r="40" spans="1:36" s="10" customFormat="1" ht="12.75" customHeight="1">
      <c r="A40" s="409" t="s">
        <v>1602</v>
      </c>
      <c r="B40" s="52">
        <f>ROUND(200*Belarus*(1-$D$100),2)</f>
        <v>200</v>
      </c>
      <c r="C40" s="52">
        <f>ROUND(169*Belarus*(1-$D$100),2)</f>
        <v>169</v>
      </c>
      <c r="D40" s="31">
        <f>ROUND(164*Belarus*(1-$D$100),2)</f>
        <v>164</v>
      </c>
      <c r="E40" s="720">
        <f>ROUND(142*Belarus*(1-$D$100),2)</f>
        <v>142</v>
      </c>
      <c r="F40" s="721"/>
      <c r="G40" s="747">
        <f>ROUND(195*Belarus*(1-$D$100),2)</f>
        <v>195</v>
      </c>
      <c r="H40" s="747"/>
      <c r="I40" s="436">
        <f>ROUND(194*Belarus*(1-$D$100),2)</f>
        <v>194</v>
      </c>
      <c r="J40" s="436">
        <f>ROUND(175*Belarus*(1-$D$100),2)</f>
        <v>175</v>
      </c>
      <c r="K40" s="436">
        <f>ROUND(166*Belarus*(1-$D$100),2)</f>
        <v>166</v>
      </c>
      <c r="L40" s="436">
        <f>ROUND(156*Belarus*(1-$D$100),2)</f>
        <v>156</v>
      </c>
      <c r="M40" s="437">
        <f>ROUND(127*Belarus*(1-$D$100),2)</f>
        <v>127</v>
      </c>
      <c r="N40" s="813">
        <f>ROUND(246*Belarus*(1-$D$100),2)</f>
        <v>246</v>
      </c>
      <c r="O40" s="747"/>
      <c r="P40" s="747">
        <f>ROUND(246*Belarus*(1-$D$100),2)</f>
        <v>246</v>
      </c>
      <c r="Q40" s="747"/>
      <c r="R40" s="100">
        <f>ROUND(151*Belarus*(1-$D$100),2)</f>
        <v>151</v>
      </c>
      <c r="S40" s="747">
        <f>ROUND(148*Belarus*(1-$D$100),2)</f>
        <v>148</v>
      </c>
      <c r="T40" s="747"/>
      <c r="U40" s="100">
        <f>ROUND(138*Belarus*(1-$D$100),2)</f>
        <v>138</v>
      </c>
      <c r="V40" s="747">
        <f>ROUND(130*Belarus*(1-$D$100),2)</f>
        <v>130</v>
      </c>
      <c r="W40" s="747"/>
      <c r="X40" s="747">
        <f>ROUND(129*Belarus*(1-$D$100),2)</f>
        <v>129</v>
      </c>
      <c r="Y40" s="747"/>
      <c r="Z40" s="100">
        <f>ROUND(187*Belarus*(1-$D$100),2)</f>
        <v>187</v>
      </c>
      <c r="AA40" s="747">
        <f>ROUND(164*Belarus*(1-$D$100),2)</f>
        <v>164</v>
      </c>
      <c r="AB40" s="747"/>
      <c r="AC40" s="747">
        <f>ROUND(119*Belarus*(1-$D$100),2)</f>
        <v>119</v>
      </c>
      <c r="AD40" s="747"/>
      <c r="AE40" s="100">
        <f>ROUND(106*Belarus*(1-$D$100),2)</f>
        <v>106</v>
      </c>
      <c r="AF40" s="183">
        <f>ROUND(117*Belarus*(1-$D$100),2)</f>
        <v>117</v>
      </c>
      <c r="AG40" s="619" t="s">
        <v>1667</v>
      </c>
      <c r="AH40" s="619"/>
      <c r="AI40" s="619"/>
      <c r="AJ40" s="619"/>
    </row>
    <row r="41" spans="1:36" s="10" customFormat="1" ht="12.75" customHeight="1">
      <c r="A41" s="311" t="s">
        <v>1601</v>
      </c>
      <c r="B41" s="52">
        <f>ROUND(117*Belarus*(1-$D$100),2)</f>
        <v>117</v>
      </c>
      <c r="C41" s="52">
        <f>ROUND(100*Belarus*(1-$D$100),2)</f>
        <v>100</v>
      </c>
      <c r="D41" s="31">
        <f>ROUND(98*Belarus*(1-$D$100),2)</f>
        <v>98</v>
      </c>
      <c r="E41" s="720">
        <f>ROUND(86*Belarus*(1-$D$100),2)</f>
        <v>86</v>
      </c>
      <c r="F41" s="721"/>
      <c r="G41" s="747">
        <f>ROUND(115*Belarus*(1-$D$100),2)</f>
        <v>115</v>
      </c>
      <c r="H41" s="747"/>
      <c r="I41" s="436">
        <f>ROUND(114*Belarus*(1-$D$100),2)</f>
        <v>114</v>
      </c>
      <c r="J41" s="436">
        <f>ROUND(104*Belarus*(1-$D$100),2)</f>
        <v>104</v>
      </c>
      <c r="K41" s="436">
        <f>ROUND(99*Belarus*(1-$D$100),2)</f>
        <v>99</v>
      </c>
      <c r="L41" s="436">
        <f>ROUND(94*Belarus*(1-$D$100),2)</f>
        <v>94</v>
      </c>
      <c r="M41" s="437">
        <f>ROUND(78*Belarus*(1-$D$100),2)</f>
        <v>78</v>
      </c>
      <c r="N41" s="813">
        <f>ROUND(142*Belarus*(1-$D$100),2)</f>
        <v>142</v>
      </c>
      <c r="O41" s="747"/>
      <c r="P41" s="747">
        <f>ROUND(142*Belarus*(1-$D$100),2)</f>
        <v>142</v>
      </c>
      <c r="Q41" s="747"/>
      <c r="R41" s="100">
        <f>ROUND(91*Belarus*(1-$D$100),2)</f>
        <v>91</v>
      </c>
      <c r="S41" s="747">
        <f>ROUND(89*Belarus*(1-$D$100),2)</f>
        <v>89</v>
      </c>
      <c r="T41" s="747"/>
      <c r="U41" s="100">
        <f>ROUND(84*Belarus*(1-$D$100),2)</f>
        <v>84</v>
      </c>
      <c r="V41" s="747">
        <f>ROUND(79*Belarus*(1-$D$100),2)</f>
        <v>79</v>
      </c>
      <c r="W41" s="747"/>
      <c r="X41" s="747">
        <f>ROUND(79*Belarus*(1-$D$100),2)</f>
        <v>79</v>
      </c>
      <c r="Y41" s="747"/>
      <c r="Z41" s="100">
        <f>ROUND(111*Belarus*(1-$D$100),2)</f>
        <v>111</v>
      </c>
      <c r="AA41" s="747">
        <f>ROUND(98*Belarus*(1-$D$100),2)</f>
        <v>98</v>
      </c>
      <c r="AB41" s="747"/>
      <c r="AC41" s="747">
        <f>ROUND(74*Belarus*(1-$D$100),2)</f>
        <v>74</v>
      </c>
      <c r="AD41" s="747"/>
      <c r="AE41" s="100">
        <f>ROUND(66*Belarus*(1-$D$100),2)</f>
        <v>66</v>
      </c>
      <c r="AF41" s="183">
        <f>ROUND(73*Belarus*(1-$D$100),2)</f>
        <v>73</v>
      </c>
      <c r="AG41" s="619"/>
      <c r="AH41" s="619"/>
      <c r="AI41" s="619"/>
      <c r="AJ41" s="619"/>
    </row>
    <row r="42" spans="1:36" s="312" customFormat="1" ht="15" customHeight="1">
      <c r="A42" s="311" t="s">
        <v>1604</v>
      </c>
      <c r="B42" s="52">
        <f>ROUND(178*Belarus*(1-$D$100),2)</f>
        <v>178</v>
      </c>
      <c r="C42" s="52">
        <f>ROUND(150*Belarus*(1-$D$100),2)</f>
        <v>150</v>
      </c>
      <c r="D42" s="31">
        <f>ROUND(146*Belarus*(1-$D$100),2)</f>
        <v>146</v>
      </c>
      <c r="E42" s="720">
        <f>ROUND(127*Belarus*(1-$D$100),2)</f>
        <v>127</v>
      </c>
      <c r="F42" s="721"/>
      <c r="G42" s="747">
        <f>ROUND(174*Belarus*(1-$D$100),2)</f>
        <v>174</v>
      </c>
      <c r="H42" s="747"/>
      <c r="I42" s="436">
        <f>ROUND(172*Belarus*(1-$D$100),2)</f>
        <v>172</v>
      </c>
      <c r="J42" s="436">
        <f>ROUND(156*Belarus*(1-$D$100),2)</f>
        <v>156</v>
      </c>
      <c r="K42" s="436">
        <f>ROUND(148*Belarus*(1-$D$100),2)</f>
        <v>148</v>
      </c>
      <c r="L42" s="436">
        <f>ROUND(139*Belarus*(1-$D$100),2)</f>
        <v>139</v>
      </c>
      <c r="M42" s="437">
        <f>ROUND(114*Belarus*(1-$D$100),2)</f>
        <v>114</v>
      </c>
      <c r="N42" s="813">
        <f>ROUND(218*Belarus*(1-$D$100),2)</f>
        <v>218</v>
      </c>
      <c r="O42" s="747"/>
      <c r="P42" s="747">
        <f>ROUND(218*Belarus*(1-$D$100),2)</f>
        <v>218</v>
      </c>
      <c r="Q42" s="747"/>
      <c r="R42" s="100">
        <f>ROUND(135*Belarus*(1-$D$100),2)</f>
        <v>135</v>
      </c>
      <c r="S42" s="747">
        <f>ROUND(132*Belarus*(1-$D$100),2)</f>
        <v>132</v>
      </c>
      <c r="T42" s="747"/>
      <c r="U42" s="100">
        <f>ROUND(124*Belarus*(1-$D$100),2)</f>
        <v>124</v>
      </c>
      <c r="V42" s="747">
        <f>ROUND(116*Belarus*(1-$D$100),2)</f>
        <v>116</v>
      </c>
      <c r="W42" s="747"/>
      <c r="X42" s="747">
        <f>ROUND(116*Belarus*(1-$D$100),2)</f>
        <v>116</v>
      </c>
      <c r="Y42" s="747"/>
      <c r="Z42" s="100">
        <f>ROUND(166*Belarus*(1-$D$100),2)</f>
        <v>166</v>
      </c>
      <c r="AA42" s="747">
        <f>ROUND(146*Belarus*(1-$D$100),2)</f>
        <v>146</v>
      </c>
      <c r="AB42" s="747"/>
      <c r="AC42" s="747">
        <f>ROUND(107*Belarus*(1-$D$100),2)</f>
        <v>107</v>
      </c>
      <c r="AD42" s="747"/>
      <c r="AE42" s="100">
        <f>ROUND(95*Belarus*(1-$D$100),2)</f>
        <v>95</v>
      </c>
      <c r="AF42" s="183">
        <f>ROUND(105*Belarus*(1-$D$100),2)</f>
        <v>105</v>
      </c>
      <c r="AG42" s="619"/>
      <c r="AH42" s="619"/>
      <c r="AI42" s="619"/>
      <c r="AJ42" s="619"/>
    </row>
    <row r="43" spans="1:36" s="10" customFormat="1" ht="12.75" customHeight="1">
      <c r="A43" s="311" t="s">
        <v>1603</v>
      </c>
      <c r="B43" s="52">
        <f>ROUND(81*Belarus*(1-$D$100),2)</f>
        <v>81</v>
      </c>
      <c r="C43" s="52">
        <f>ROUND(70*Belarus*(1-$D$100),2)</f>
        <v>70</v>
      </c>
      <c r="D43" s="31">
        <f>ROUND(69*Belarus*(1-$D$100),2)</f>
        <v>69</v>
      </c>
      <c r="E43" s="720">
        <f>ROUND(61*Belarus*(1-$D$100),2)</f>
        <v>61</v>
      </c>
      <c r="F43" s="721"/>
      <c r="G43" s="747">
        <f>ROUND(79*Belarus*(1-$D$100),2)</f>
        <v>79</v>
      </c>
      <c r="H43" s="747"/>
      <c r="I43" s="436">
        <f>ROUND(79*Belarus*(1-$D$100),2)</f>
        <v>79</v>
      </c>
      <c r="J43" s="436">
        <f>ROUND(72*Belarus*(1-$D$100),2)</f>
        <v>72</v>
      </c>
      <c r="K43" s="436">
        <f>ROUND(69*Belarus*(1-$D$100),2)</f>
        <v>69</v>
      </c>
      <c r="L43" s="436">
        <f>ROUND(66*Belarus*(1-$D$100),2)</f>
        <v>66</v>
      </c>
      <c r="M43" s="437">
        <f>ROUND(56*Belarus*(1-$D$100),2)</f>
        <v>56</v>
      </c>
      <c r="N43" s="813">
        <f>ROUND(96*Belarus*(1-$D$100),2)</f>
        <v>96</v>
      </c>
      <c r="O43" s="747"/>
      <c r="P43" s="747">
        <f>ROUND(96*Belarus*(1-$D$100),2)</f>
        <v>96</v>
      </c>
      <c r="Q43" s="747"/>
      <c r="R43" s="100">
        <f>ROUND(64*Belarus*(1-$D$100),2)</f>
        <v>64</v>
      </c>
      <c r="S43" s="747">
        <f>ROUND(63*Belarus*(1-$D$100),2)</f>
        <v>63</v>
      </c>
      <c r="T43" s="747"/>
      <c r="U43" s="100">
        <f>ROUND(60*Belarus*(1-$D$100),2)</f>
        <v>60</v>
      </c>
      <c r="V43" s="747">
        <f>ROUND(57*Belarus*(1-$D$100),2)</f>
        <v>57</v>
      </c>
      <c r="W43" s="747"/>
      <c r="X43" s="747">
        <f>ROUND(57*Belarus*(1-$D$100),2)</f>
        <v>57</v>
      </c>
      <c r="Y43" s="747"/>
      <c r="Z43" s="100">
        <f>ROUND(77*Belarus*(1-$D$100),2)</f>
        <v>77</v>
      </c>
      <c r="AA43" s="747">
        <f>ROUND(69*Belarus*(1-$D$100),2)</f>
        <v>69</v>
      </c>
      <c r="AB43" s="747"/>
      <c r="AC43" s="747">
        <f>ROUND(54*Belarus*(1-$D$100),2)</f>
        <v>54</v>
      </c>
      <c r="AD43" s="747"/>
      <c r="AE43" s="100">
        <f>ROUND(49*Belarus*(1-$D$100),2)</f>
        <v>49</v>
      </c>
      <c r="AF43" s="183">
        <f>ROUND(53*Belarus*(1-$D$100),2)</f>
        <v>53</v>
      </c>
      <c r="AG43" s="619"/>
      <c r="AH43" s="619"/>
      <c r="AI43" s="619"/>
      <c r="AJ43" s="619"/>
    </row>
    <row r="44" spans="1:36" s="10" customFormat="1" ht="12.75" customHeight="1">
      <c r="A44" s="311" t="s">
        <v>1599</v>
      </c>
      <c r="B44" s="52">
        <f>ROUND(200*Belarus*(1-$D$100),2)</f>
        <v>200</v>
      </c>
      <c r="C44" s="52">
        <f>ROUND(169*Belarus*(1-$D$100),2)</f>
        <v>169</v>
      </c>
      <c r="D44" s="31">
        <f>ROUND(164*Belarus*(1-$D$100),2)</f>
        <v>164</v>
      </c>
      <c r="E44" s="720">
        <f>ROUND(142*Belarus*(1-$D$100),2)</f>
        <v>142</v>
      </c>
      <c r="F44" s="721"/>
      <c r="G44" s="747">
        <f>ROUND(195*Belarus*(1-$D$100),2)</f>
        <v>195</v>
      </c>
      <c r="H44" s="747"/>
      <c r="I44" s="436">
        <f>ROUND(194*Belarus*(1-$D$100),2)</f>
        <v>194</v>
      </c>
      <c r="J44" s="436">
        <f>ROUND(175*Belarus*(1-$D$100),2)</f>
        <v>175</v>
      </c>
      <c r="K44" s="436">
        <f>ROUND(166*Belarus*(1-$D$100),2)</f>
        <v>166</v>
      </c>
      <c r="L44" s="436">
        <f>ROUND(156*Belarus*(1-$D$100),2)</f>
        <v>156</v>
      </c>
      <c r="M44" s="437">
        <f>ROUND(127*Belarus*(1-$D$100),2)</f>
        <v>127</v>
      </c>
      <c r="N44" s="813">
        <f>ROUND(246*Belarus*(1-$D$100),2)</f>
        <v>246</v>
      </c>
      <c r="O44" s="747"/>
      <c r="P44" s="747">
        <f>ROUND(246*Belarus*(1-$D$100),2)</f>
        <v>246</v>
      </c>
      <c r="Q44" s="747"/>
      <c r="R44" s="100">
        <f>ROUND(151*Belarus*(1-$D$100),2)</f>
        <v>151</v>
      </c>
      <c r="S44" s="747">
        <f>ROUND(148*Belarus*(1-$D$100),2)</f>
        <v>148</v>
      </c>
      <c r="T44" s="747"/>
      <c r="U44" s="100">
        <f>ROUND(138*Belarus*(1-$D$100),2)</f>
        <v>138</v>
      </c>
      <c r="V44" s="747">
        <f>ROUND(130*Belarus*(1-$D$100),2)</f>
        <v>130</v>
      </c>
      <c r="W44" s="747"/>
      <c r="X44" s="747">
        <f>ROUND(129*Belarus*(1-$D$100),2)</f>
        <v>129</v>
      </c>
      <c r="Y44" s="747"/>
      <c r="Z44" s="100">
        <f>ROUND(187*Belarus*(1-$D$100),2)</f>
        <v>187</v>
      </c>
      <c r="AA44" s="747">
        <f>ROUND(164*Belarus*(1-$D$100),2)</f>
        <v>164</v>
      </c>
      <c r="AB44" s="747"/>
      <c r="AC44" s="747">
        <f>ROUND(119*Belarus*(1-$D$100),2)</f>
        <v>119</v>
      </c>
      <c r="AD44" s="747"/>
      <c r="AE44" s="100">
        <f>ROUND(106*Belarus*(1-$D$100),2)</f>
        <v>106</v>
      </c>
      <c r="AF44" s="183">
        <f>ROUND(117*Belarus*(1-$D$100),2)</f>
        <v>117</v>
      </c>
      <c r="AG44" s="619"/>
      <c r="AH44" s="619"/>
      <c r="AI44" s="619"/>
      <c r="AJ44" s="619"/>
    </row>
    <row r="45" spans="1:36" s="10" customFormat="1" ht="12.75" customHeight="1">
      <c r="A45" s="311" t="s">
        <v>2083</v>
      </c>
      <c r="B45" s="52">
        <f>ROUND(230*Belarus*(1-$D$100),2)</f>
        <v>230</v>
      </c>
      <c r="C45" s="52">
        <f>ROUND(193*Belarus*(1-$D$100),2)</f>
        <v>193</v>
      </c>
      <c r="D45" s="31">
        <f>ROUND(188*Belarus*(1-$D$100),2)</f>
        <v>188</v>
      </c>
      <c r="E45" s="720">
        <f>ROUND(162*Belarus*(1-$D$100),2)</f>
        <v>162</v>
      </c>
      <c r="F45" s="721"/>
      <c r="G45" s="747">
        <f>ROUND(224*Belarus*(1-$D$100),2)</f>
        <v>224</v>
      </c>
      <c r="H45" s="747"/>
      <c r="I45" s="436">
        <f>ROUND(222*Belarus*(1-$D$100),2)</f>
        <v>222</v>
      </c>
      <c r="J45" s="436">
        <f>ROUND(201*Belarus*(1-$D$100),2)</f>
        <v>201</v>
      </c>
      <c r="K45" s="436">
        <f>ROUND(191*Belarus*(1-$D$100),2)</f>
        <v>191</v>
      </c>
      <c r="L45" s="436">
        <f>ROUND(179*Belarus*(1-$D$100),2)</f>
        <v>179</v>
      </c>
      <c r="M45" s="437">
        <f>ROUND(145*Belarus*(1-$D$100),2)</f>
        <v>145</v>
      </c>
      <c r="N45" s="813">
        <f>ROUND(283*Belarus*(1-$D$100),2)</f>
        <v>283</v>
      </c>
      <c r="O45" s="747"/>
      <c r="P45" s="747">
        <f>ROUND(283*Belarus*(1-$D$100),2)</f>
        <v>283</v>
      </c>
      <c r="Q45" s="747"/>
      <c r="R45" s="100">
        <f>ROUND(173*Belarus*(1-$D$100),2)</f>
        <v>173</v>
      </c>
      <c r="S45" s="747">
        <f>ROUND(169*Belarus*(1-$D$100),2)</f>
        <v>169</v>
      </c>
      <c r="T45" s="747"/>
      <c r="U45" s="100">
        <f>ROUND(158*Belarus*(1-$D$100),2)</f>
        <v>158</v>
      </c>
      <c r="V45" s="747">
        <f>ROUND(148*Belarus*(1-$D$100),2)</f>
        <v>148</v>
      </c>
      <c r="W45" s="747"/>
      <c r="X45" s="747">
        <f>ROUND(147*Belarus*(1-$D$100),2)</f>
        <v>147</v>
      </c>
      <c r="Y45" s="747"/>
      <c r="Z45" s="100">
        <f>ROUND(215*Belarus*(1-$D$100),2)</f>
        <v>215</v>
      </c>
      <c r="AA45" s="747">
        <f>ROUND(187*Belarus*(1-$D$100),2)</f>
        <v>187</v>
      </c>
      <c r="AB45" s="747"/>
      <c r="AC45" s="747">
        <f>ROUND(135*Belarus*(1-$D$100),2)</f>
        <v>135</v>
      </c>
      <c r="AD45" s="747"/>
      <c r="AE45" s="100">
        <f>ROUND(120*Belarus*(1-$D$100),2)</f>
        <v>120</v>
      </c>
      <c r="AF45" s="183">
        <f>ROUND(133*Belarus*(1-$D$100),2)</f>
        <v>133</v>
      </c>
      <c r="AG45" s="619"/>
      <c r="AH45" s="619"/>
      <c r="AI45" s="619"/>
      <c r="AJ45" s="619"/>
    </row>
    <row r="46" spans="1:36" s="10" customFormat="1" ht="12.75" customHeight="1">
      <c r="A46" s="311" t="s">
        <v>1600</v>
      </c>
      <c r="B46" s="52">
        <f>ROUND(178*Belarus*(1-$D$100),2)</f>
        <v>178</v>
      </c>
      <c r="C46" s="52">
        <f>ROUND(150*Belarus*(1-$D$100),2)</f>
        <v>150</v>
      </c>
      <c r="D46" s="31">
        <f>ROUND(146*Belarus*(1-$D$100),2)</f>
        <v>146</v>
      </c>
      <c r="E46" s="720">
        <f>ROUND(127*Belarus*(1-$D$100),2)</f>
        <v>127</v>
      </c>
      <c r="F46" s="721"/>
      <c r="G46" s="747">
        <f>ROUND(174*Belarus*(1-$D$100),2)</f>
        <v>174</v>
      </c>
      <c r="H46" s="747"/>
      <c r="I46" s="436">
        <f>ROUND(172*Belarus*(1-$D$100),2)</f>
        <v>172</v>
      </c>
      <c r="J46" s="436">
        <f>ROUND(156*Belarus*(1-$D$100),2)</f>
        <v>156</v>
      </c>
      <c r="K46" s="436">
        <f>ROUND(148*Belarus*(1-$D$100),2)</f>
        <v>148</v>
      </c>
      <c r="L46" s="436">
        <f>ROUND(139*Belarus*(1-$D$100),2)</f>
        <v>139</v>
      </c>
      <c r="M46" s="437">
        <f>ROUND(114*Belarus*(1-$D$100),2)</f>
        <v>114</v>
      </c>
      <c r="N46" s="813">
        <f>ROUND(218*Belarus*(1-$D$100),2)</f>
        <v>218</v>
      </c>
      <c r="O46" s="747"/>
      <c r="P46" s="747">
        <f>ROUND(218*Belarus*(1-$D$100),2)</f>
        <v>218</v>
      </c>
      <c r="Q46" s="747"/>
      <c r="R46" s="100">
        <f>ROUND(135*Belarus*(1-$D$100),2)</f>
        <v>135</v>
      </c>
      <c r="S46" s="747">
        <f>ROUND(132*Belarus*(1-$D$100),2)</f>
        <v>132</v>
      </c>
      <c r="T46" s="747"/>
      <c r="U46" s="100">
        <f>ROUND(124*Belarus*(1-$D$100),2)</f>
        <v>124</v>
      </c>
      <c r="V46" s="747">
        <f>ROUND(116*Belarus*(1-$D$100),2)</f>
        <v>116</v>
      </c>
      <c r="W46" s="747"/>
      <c r="X46" s="747">
        <f>ROUND(116*Belarus*(1-$D$100),2)</f>
        <v>116</v>
      </c>
      <c r="Y46" s="747"/>
      <c r="Z46" s="100">
        <f>ROUND(166*Belarus*(1-$D$100),2)</f>
        <v>166</v>
      </c>
      <c r="AA46" s="747">
        <f>ROUND(146*Belarus*(1-$D$100),2)</f>
        <v>146</v>
      </c>
      <c r="AB46" s="747"/>
      <c r="AC46" s="747">
        <f>ROUND(107*Belarus*(1-$D$100),2)</f>
        <v>107</v>
      </c>
      <c r="AD46" s="747"/>
      <c r="AE46" s="100">
        <f>ROUND(95*Belarus*(1-$D$100),2)</f>
        <v>95</v>
      </c>
      <c r="AF46" s="183">
        <f>ROUND(105*Belarus*(1-$D$100),2)</f>
        <v>105</v>
      </c>
      <c r="AG46" s="619"/>
      <c r="AH46" s="619"/>
      <c r="AI46" s="619"/>
      <c r="AJ46" s="619"/>
    </row>
    <row r="47" spans="1:36" s="312" customFormat="1" ht="15" customHeight="1">
      <c r="A47" s="311" t="s">
        <v>1677</v>
      </c>
      <c r="B47" s="703">
        <f>ROUND(55*Belarus*(1-$D$100),2)</f>
        <v>55</v>
      </c>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619"/>
      <c r="AH47" s="619"/>
      <c r="AI47" s="619"/>
      <c r="AJ47" s="619"/>
    </row>
    <row r="49" spans="1:55" s="10" customFormat="1" ht="19.5" customHeight="1">
      <c r="A49" s="806" t="s">
        <v>1678</v>
      </c>
      <c r="B49" s="806"/>
      <c r="C49" s="806"/>
      <c r="D49" s="806"/>
      <c r="E49" s="806"/>
      <c r="F49" s="806"/>
      <c r="G49" s="806"/>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57"/>
      <c r="AJ49" s="57"/>
      <c r="AK49" s="57"/>
      <c r="AL49" s="57"/>
      <c r="AM49" s="57"/>
    </row>
    <row r="50" spans="1:55" s="10" customFormat="1" ht="12.75" customHeight="1">
      <c r="A50" s="755" t="s">
        <v>1679</v>
      </c>
      <c r="B50" s="755"/>
      <c r="C50" s="755"/>
      <c r="D50" s="755"/>
      <c r="E50" s="755"/>
      <c r="F50" s="755"/>
      <c r="G50" s="755"/>
      <c r="J50" s="755" t="s">
        <v>1616</v>
      </c>
      <c r="K50" s="755"/>
      <c r="L50" s="755"/>
      <c r="M50" s="755"/>
      <c r="N50" s="755"/>
      <c r="O50" s="755"/>
      <c r="P50" s="755"/>
      <c r="Q50" s="755"/>
      <c r="R50" s="755"/>
      <c r="S50" s="755"/>
      <c r="T50" s="755"/>
      <c r="U50" s="755"/>
      <c r="V50" s="755"/>
      <c r="W50" s="755"/>
      <c r="X50" s="755"/>
      <c r="Y50" s="755"/>
      <c r="Z50" s="755"/>
      <c r="AA50" s="755"/>
      <c r="AB50" s="755"/>
      <c r="AC50" s="755"/>
      <c r="AD50" s="755"/>
      <c r="AE50" s="755"/>
      <c r="AF50" s="755"/>
      <c r="AG50" s="755"/>
      <c r="AH50" s="755"/>
      <c r="AI50" s="338"/>
      <c r="AJ50" s="57"/>
      <c r="AK50" s="57"/>
      <c r="AL50" s="57"/>
      <c r="AM50" s="57"/>
      <c r="AN50" s="57"/>
    </row>
    <row r="51" spans="1:55" s="10" customFormat="1" ht="12.75" customHeight="1">
      <c r="A51" s="755"/>
      <c r="B51" s="755"/>
      <c r="C51" s="755"/>
      <c r="D51" s="755"/>
      <c r="E51" s="755"/>
      <c r="F51" s="755"/>
      <c r="G51" s="755"/>
      <c r="J51" s="755" t="s">
        <v>1280</v>
      </c>
      <c r="K51" s="755"/>
      <c r="L51" s="755"/>
      <c r="M51" s="432" t="s">
        <v>1281</v>
      </c>
      <c r="N51" s="755" t="s">
        <v>1680</v>
      </c>
      <c r="O51" s="755"/>
      <c r="P51" s="755" t="s">
        <v>1280</v>
      </c>
      <c r="Q51" s="755"/>
      <c r="R51" s="755"/>
      <c r="S51" s="755"/>
      <c r="T51" s="755"/>
      <c r="U51" s="755"/>
      <c r="V51" s="755"/>
      <c r="W51" s="755" t="s">
        <v>1281</v>
      </c>
      <c r="X51" s="755"/>
      <c r="Y51" s="755" t="s">
        <v>1680</v>
      </c>
      <c r="Z51" s="755"/>
      <c r="AA51" s="755" t="s">
        <v>1280</v>
      </c>
      <c r="AB51" s="755"/>
      <c r="AC51" s="755"/>
      <c r="AD51" s="755"/>
      <c r="AE51" s="755"/>
      <c r="AF51" s="349" t="s">
        <v>1281</v>
      </c>
      <c r="AG51" s="755" t="s">
        <v>1680</v>
      </c>
      <c r="AH51" s="755"/>
      <c r="AI51" s="338"/>
      <c r="AJ51" s="338"/>
      <c r="AK51" s="338"/>
      <c r="AL51" s="338"/>
      <c r="AM51" s="338"/>
      <c r="AN51" s="338"/>
      <c r="AO51" s="57"/>
      <c r="AP51" s="57"/>
      <c r="AQ51" s="57"/>
      <c r="AR51" s="57"/>
      <c r="AS51" s="57"/>
    </row>
    <row r="52" spans="1:55" s="10" customFormat="1" ht="15.75" customHeight="1">
      <c r="A52" s="598" t="s">
        <v>1681</v>
      </c>
      <c r="B52" s="809" t="s">
        <v>1605</v>
      </c>
      <c r="C52" s="810"/>
      <c r="D52" s="810"/>
      <c r="E52" s="810"/>
      <c r="F52" s="811"/>
      <c r="G52" s="336">
        <v>1.24</v>
      </c>
      <c r="J52" s="612" t="s">
        <v>1611</v>
      </c>
      <c r="K52" s="612"/>
      <c r="L52" s="612"/>
      <c r="M52" s="100" t="str">
        <f>G52&amp;" L/шт"</f>
        <v>1,24 L/шт</v>
      </c>
      <c r="N52" s="758" t="str">
        <f>IF(G54=1,2,G54+1)*2&amp;" шт"</f>
        <v>12 шт</v>
      </c>
      <c r="O52" s="758"/>
      <c r="P52" s="612" t="s">
        <v>1612</v>
      </c>
      <c r="Q52" s="612"/>
      <c r="R52" s="612"/>
      <c r="S52" s="612"/>
      <c r="T52" s="612"/>
      <c r="U52" s="612"/>
      <c r="V52" s="612"/>
      <c r="W52" s="490" t="str">
        <f>G52&amp;" L/шт"</f>
        <v>1,24 L/шт</v>
      </c>
      <c r="X52" s="490"/>
      <c r="Y52" s="758" t="str">
        <f>$G$54*(ROUNDDOWN($G$53/1.01,0))&amp;" шт"</f>
        <v>10 шт</v>
      </c>
      <c r="Z52" s="758"/>
      <c r="AA52" s="776" t="s">
        <v>1682</v>
      </c>
      <c r="AB52" s="776"/>
      <c r="AC52" s="776"/>
      <c r="AD52" s="776"/>
      <c r="AE52" s="776"/>
      <c r="AF52" s="348" t="s">
        <v>1683</v>
      </c>
      <c r="AG52" s="758" t="str">
        <f>G54*2*ROUNDUP((G52/0.5),0)&amp;" шт"</f>
        <v>30 шт</v>
      </c>
      <c r="AH52" s="758"/>
      <c r="AI52" s="57"/>
      <c r="AJ52" s="57"/>
      <c r="AK52" s="57"/>
      <c r="AL52" s="237"/>
      <c r="AM52" s="42"/>
      <c r="AN52" s="42"/>
      <c r="AO52" s="41"/>
      <c r="AP52" s="41"/>
      <c r="AQ52" s="41"/>
      <c r="AR52" s="41"/>
      <c r="AS52" s="41"/>
      <c r="AT52" s="41"/>
      <c r="AU52" s="41"/>
      <c r="AV52" s="40"/>
      <c r="AW52" s="18"/>
      <c r="AX52" s="45"/>
      <c r="AY52" s="45"/>
      <c r="AZ52" s="45"/>
    </row>
    <row r="53" spans="1:55" s="10" customFormat="1" ht="18.75" customHeight="1">
      <c r="A53" s="598"/>
      <c r="B53" s="447" t="s">
        <v>1684</v>
      </c>
      <c r="C53" s="448"/>
      <c r="D53" s="448"/>
      <c r="E53" s="449"/>
      <c r="F53" s="435"/>
      <c r="G53" s="336">
        <v>3</v>
      </c>
      <c r="J53" s="512" t="s">
        <v>1604</v>
      </c>
      <c r="K53" s="512"/>
      <c r="L53" s="512"/>
      <c r="M53" s="100" t="str">
        <f>G52&amp;" L/шт"</f>
        <v>1,24 L/шт</v>
      </c>
      <c r="N53" s="758" t="str">
        <f>G55&amp; " шт"</f>
        <v>0 шт</v>
      </c>
      <c r="O53" s="758"/>
      <c r="P53" s="612" t="s">
        <v>1609</v>
      </c>
      <c r="Q53" s="612"/>
      <c r="R53" s="612"/>
      <c r="S53" s="612"/>
      <c r="T53" s="612"/>
      <c r="U53" s="612"/>
      <c r="V53" s="612"/>
      <c r="W53" s="490" t="str">
        <f>G52&amp;" L/шт"</f>
        <v>1,24 L/шт</v>
      </c>
      <c r="X53" s="490"/>
      <c r="Y53" s="758" t="str">
        <f>2*G54&amp; " шт"</f>
        <v>10 шт</v>
      </c>
      <c r="Z53" s="758"/>
      <c r="AA53" s="512" t="s">
        <v>1685</v>
      </c>
      <c r="AB53" s="512"/>
      <c r="AC53" s="512"/>
      <c r="AD53" s="512"/>
      <c r="AE53" s="512"/>
      <c r="AF53" s="348" t="s">
        <v>1686</v>
      </c>
      <c r="AG53" s="758" t="str">
        <f>$G$54*ROUNDUP($G$52/(110/1000),0)*4+(4*G54)+$G$54*ROUNDDOWN((G53/1.01),0)*ROUNDUP($G$52/(110/1000),0)&amp; " шт"</f>
        <v>380 шт</v>
      </c>
      <c r="AH53" s="758"/>
      <c r="AI53" s="57"/>
      <c r="AJ53" s="57"/>
      <c r="AK53" s="57"/>
      <c r="AL53" s="41"/>
      <c r="AM53" s="42"/>
      <c r="AN53" s="42"/>
      <c r="AO53" s="41"/>
      <c r="AP53" s="41"/>
      <c r="AQ53" s="41"/>
      <c r="AR53" s="41"/>
      <c r="AS53" s="41"/>
      <c r="AT53" s="41"/>
      <c r="AU53" s="41"/>
      <c r="AV53" s="45"/>
      <c r="AW53" s="45"/>
      <c r="AX53" s="255"/>
      <c r="AY53" s="45"/>
      <c r="AZ53" s="18"/>
      <c r="BA53" s="45"/>
      <c r="BB53" s="45"/>
      <c r="BC53" s="45"/>
    </row>
    <row r="54" spans="1:55" s="10" customFormat="1" ht="15" customHeight="1">
      <c r="A54" s="598"/>
      <c r="B54" s="809" t="s">
        <v>1610</v>
      </c>
      <c r="C54" s="810"/>
      <c r="D54" s="810"/>
      <c r="E54" s="810"/>
      <c r="F54" s="811"/>
      <c r="G54" s="336">
        <v>5</v>
      </c>
      <c r="J54" s="512" t="s">
        <v>1613</v>
      </c>
      <c r="K54" s="512"/>
      <c r="L54" s="512"/>
      <c r="M54" s="100" t="str">
        <f>G53&amp; " L/шт"</f>
        <v>3 L/шт</v>
      </c>
      <c r="N54" s="758" t="str">
        <f>$G$54*ROUNDDOWN($G$52/(110/1000),0)&amp; " шт"</f>
        <v>55 шт</v>
      </c>
      <c r="O54" s="758"/>
      <c r="P54" s="612" t="s">
        <v>1608</v>
      </c>
      <c r="Q54" s="612"/>
      <c r="R54" s="612"/>
      <c r="S54" s="612"/>
      <c r="T54" s="612"/>
      <c r="U54" s="612"/>
      <c r="V54" s="612"/>
      <c r="W54" s="490" t="str">
        <f>IF(G53&gt;2.87,3,ROUND(AG54+2*0.055,2))&amp; " L/шт"</f>
        <v>3 L/шт</v>
      </c>
      <c r="X54" s="490"/>
      <c r="Y54" s="758" t="str">
        <f>1*G54&amp; " шт"</f>
        <v>5 шт</v>
      </c>
      <c r="Z54" s="758"/>
      <c r="AA54" s="510" t="s">
        <v>1614</v>
      </c>
      <c r="AB54" s="510"/>
      <c r="AC54" s="510"/>
      <c r="AD54" s="510"/>
      <c r="AE54" s="510"/>
      <c r="AF54" s="637" t="s">
        <v>51</v>
      </c>
      <c r="AG54" s="490">
        <f>G53+0.015</f>
        <v>3.0150000000000001</v>
      </c>
      <c r="AH54" s="490"/>
      <c r="AI54" s="42"/>
      <c r="AJ54" s="42"/>
      <c r="AK54" s="42"/>
      <c r="AL54" s="42"/>
      <c r="AM54" s="42"/>
      <c r="AN54" s="42"/>
      <c r="AO54" s="41"/>
      <c r="AP54" s="41"/>
      <c r="AQ54" s="41"/>
      <c r="AR54" s="41"/>
      <c r="AS54" s="41"/>
      <c r="AT54" s="41"/>
      <c r="AU54" s="41"/>
      <c r="AV54" s="339"/>
      <c r="AW54" s="45"/>
      <c r="AX54" s="255"/>
      <c r="AY54" s="45"/>
      <c r="AZ54" s="18"/>
      <c r="BA54" s="45"/>
      <c r="BB54" s="45"/>
      <c r="BC54" s="45"/>
    </row>
    <row r="55" spans="1:55" s="10" customFormat="1" ht="17.25" customHeight="1">
      <c r="A55" s="598"/>
      <c r="B55" s="809" t="s">
        <v>1606</v>
      </c>
      <c r="C55" s="810"/>
      <c r="D55" s="810"/>
      <c r="E55" s="810"/>
      <c r="F55" s="811"/>
      <c r="G55" s="336">
        <v>0</v>
      </c>
      <c r="J55" s="512" t="s">
        <v>1687</v>
      </c>
      <c r="K55" s="512"/>
      <c r="L55" s="512"/>
      <c r="M55" s="101" t="s">
        <v>51</v>
      </c>
      <c r="N55" s="587" t="str">
        <f>2&amp;" шт"</f>
        <v>2 шт</v>
      </c>
      <c r="O55" s="587"/>
      <c r="P55" s="612" t="s">
        <v>1607</v>
      </c>
      <c r="Q55" s="612"/>
      <c r="R55" s="612"/>
      <c r="S55" s="612"/>
      <c r="T55" s="612"/>
      <c r="U55" s="612"/>
      <c r="V55" s="612"/>
      <c r="W55" s="587" t="s">
        <v>51</v>
      </c>
      <c r="X55" s="587"/>
      <c r="Y55" s="758" t="str">
        <f>IF(G54=1,2,G54+1)&amp; " шт"</f>
        <v>6 шт</v>
      </c>
      <c r="Z55" s="758"/>
      <c r="AA55" s="510"/>
      <c r="AB55" s="510"/>
      <c r="AC55" s="510"/>
      <c r="AD55" s="510"/>
      <c r="AE55" s="510"/>
      <c r="AF55" s="638"/>
      <c r="AG55" s="490"/>
      <c r="AH55" s="490"/>
      <c r="AI55" s="42"/>
      <c r="AJ55" s="42"/>
      <c r="AK55" s="42"/>
      <c r="AL55" s="42"/>
      <c r="AM55" s="42"/>
      <c r="AN55" s="42"/>
      <c r="AO55" s="41"/>
      <c r="AP55" s="41"/>
      <c r="AQ55" s="41"/>
      <c r="AR55" s="41"/>
      <c r="AS55" s="41"/>
      <c r="AT55" s="41"/>
      <c r="AU55" s="41"/>
      <c r="AV55" s="339"/>
      <c r="AW55" s="45"/>
      <c r="AX55" s="255"/>
      <c r="AY55" s="45"/>
      <c r="AZ55" s="18"/>
      <c r="BA55" s="45"/>
      <c r="BB55" s="45"/>
      <c r="BC55" s="45"/>
    </row>
    <row r="56" spans="1:55" s="10" customFormat="1" ht="12" customHeight="1">
      <c r="A56" s="605" t="s">
        <v>1688</v>
      </c>
      <c r="B56" s="605"/>
      <c r="C56" s="605"/>
      <c r="D56" s="605"/>
      <c r="E56" s="605"/>
      <c r="F56" s="605"/>
      <c r="G56" s="605"/>
      <c r="H56" s="42"/>
      <c r="I56" s="42"/>
      <c r="AI56" s="41"/>
      <c r="AJ56" s="41"/>
      <c r="AK56" s="41"/>
      <c r="AL56" s="41"/>
      <c r="AM56" s="41"/>
      <c r="AN56" s="41"/>
      <c r="AO56" s="41"/>
      <c r="AP56" s="339"/>
      <c r="AQ56" s="45"/>
      <c r="AR56" s="255"/>
      <c r="AS56" s="45"/>
      <c r="AT56" s="18"/>
      <c r="AU56" s="45"/>
      <c r="AV56" s="45"/>
      <c r="AW56" s="45"/>
    </row>
    <row r="57" spans="1:55" s="57" customFormat="1" ht="12" customHeight="1">
      <c r="A57" s="605" t="s">
        <v>1943</v>
      </c>
      <c r="B57" s="605"/>
      <c r="C57" s="605"/>
      <c r="D57" s="605"/>
      <c r="E57" s="605"/>
      <c r="F57" s="605"/>
      <c r="G57" s="605"/>
      <c r="H57" s="42"/>
      <c r="I57" s="42"/>
      <c r="J57" s="605" t="s">
        <v>1944</v>
      </c>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41"/>
      <c r="AJ57" s="41"/>
      <c r="AK57" s="41"/>
      <c r="AL57" s="41"/>
      <c r="AM57" s="41"/>
      <c r="AN57" s="41"/>
      <c r="AO57" s="41"/>
      <c r="AP57" s="339"/>
      <c r="AQ57" s="45"/>
      <c r="AR57" s="255"/>
      <c r="AS57" s="45"/>
      <c r="AT57" s="18"/>
      <c r="AU57" s="45"/>
      <c r="AV57" s="45"/>
      <c r="AW57" s="45"/>
    </row>
    <row r="58" spans="1:55" s="337" customFormat="1" ht="14.25" customHeight="1">
      <c r="A58" s="605"/>
      <c r="B58" s="605"/>
      <c r="C58" s="605"/>
      <c r="D58" s="605"/>
      <c r="E58" s="605"/>
      <c r="F58" s="605"/>
      <c r="G58" s="605"/>
    </row>
    <row r="59" spans="1:55" s="337" customFormat="1" ht="12" customHeight="1"/>
    <row r="60" spans="1:55" s="337" customFormat="1" ht="11.25" customHeight="1"/>
    <row r="61" spans="1:55" ht="11.2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row>
    <row r="62" spans="1:55">
      <c r="A62" s="751" t="s">
        <v>1451</v>
      </c>
      <c r="B62" s="751"/>
      <c r="C62" s="751"/>
      <c r="D62" s="751"/>
      <c r="E62" s="751"/>
      <c r="F62" s="751"/>
      <c r="G62" s="751"/>
      <c r="H62" s="751"/>
      <c r="I62" s="751"/>
      <c r="J62" s="751"/>
      <c r="K62" s="751"/>
      <c r="L62" s="751"/>
      <c r="M62" s="751"/>
      <c r="N62" s="751"/>
      <c r="O62" s="751"/>
      <c r="P62" s="266"/>
      <c r="Q62" s="266"/>
      <c r="R62" s="814" t="s">
        <v>1939</v>
      </c>
      <c r="S62" s="815"/>
      <c r="T62" s="815"/>
      <c r="U62" s="815"/>
      <c r="V62" s="815"/>
      <c r="W62" s="815"/>
      <c r="X62" s="815"/>
      <c r="Y62" s="815"/>
      <c r="Z62" s="815"/>
      <c r="AA62" s="815"/>
      <c r="AB62" s="815"/>
      <c r="AC62" s="815"/>
      <c r="AD62" s="815"/>
      <c r="AE62" s="815"/>
      <c r="AF62" s="815"/>
      <c r="AG62" s="815"/>
      <c r="AH62" s="816"/>
    </row>
    <row r="63" spans="1:55" ht="18" customHeight="1">
      <c r="A63" s="125" t="s">
        <v>1656</v>
      </c>
      <c r="B63" s="751" t="s">
        <v>1059</v>
      </c>
      <c r="C63" s="751"/>
      <c r="D63" s="751"/>
      <c r="E63" s="751"/>
      <c r="F63" s="751"/>
      <c r="G63" s="751"/>
      <c r="H63" s="751"/>
      <c r="I63" s="751"/>
      <c r="J63" s="751"/>
      <c r="K63" s="751"/>
      <c r="L63" s="751"/>
      <c r="M63" s="751"/>
      <c r="N63" s="751"/>
      <c r="O63" s="751"/>
      <c r="P63" s="22"/>
      <c r="Q63" s="22"/>
      <c r="R63" s="498" t="s">
        <v>1656</v>
      </c>
      <c r="S63" s="498"/>
      <c r="T63" s="498"/>
      <c r="U63" s="498"/>
      <c r="V63" s="498" t="s">
        <v>18</v>
      </c>
      <c r="W63" s="537"/>
      <c r="X63" s="537"/>
      <c r="Y63" s="537"/>
      <c r="Z63" s="537"/>
      <c r="AA63" s="537"/>
      <c r="AB63" s="537"/>
      <c r="AC63" s="537"/>
      <c r="AD63" s="537"/>
      <c r="AE63" s="537"/>
      <c r="AF63" s="498" t="s">
        <v>1282</v>
      </c>
      <c r="AG63" s="498"/>
      <c r="AH63" s="498"/>
    </row>
    <row r="64" spans="1:55" ht="12.75" customHeight="1">
      <c r="A64" s="757"/>
      <c r="B64" s="751" t="s">
        <v>113</v>
      </c>
      <c r="C64" s="751"/>
      <c r="D64" s="751"/>
      <c r="E64" s="751"/>
      <c r="F64" s="751"/>
      <c r="G64" s="751"/>
      <c r="H64" s="751"/>
      <c r="I64" s="751"/>
      <c r="J64" s="751"/>
      <c r="K64" s="751"/>
      <c r="L64" s="751"/>
      <c r="M64" s="751"/>
      <c r="N64" s="751"/>
      <c r="O64" s="751"/>
      <c r="R64" s="817"/>
      <c r="S64" s="817"/>
      <c r="T64" s="817"/>
      <c r="U64" s="817"/>
      <c r="V64" s="575" t="s">
        <v>1940</v>
      </c>
      <c r="W64" s="576"/>
      <c r="X64" s="576"/>
      <c r="Y64" s="576"/>
      <c r="Z64" s="576"/>
      <c r="AA64" s="576"/>
      <c r="AB64" s="576"/>
      <c r="AC64" s="576"/>
      <c r="AD64" s="576"/>
      <c r="AE64" s="577"/>
      <c r="AF64" s="763">
        <f>ROUND(9880*Belarus*(1-D102),2)</f>
        <v>9880</v>
      </c>
      <c r="AG64" s="764"/>
      <c r="AH64" s="765"/>
    </row>
    <row r="65" spans="1:36" ht="22.5" customHeight="1">
      <c r="A65" s="757"/>
      <c r="B65" s="761" t="s">
        <v>1657</v>
      </c>
      <c r="C65" s="761"/>
      <c r="D65" s="761" t="s">
        <v>1658</v>
      </c>
      <c r="E65" s="761"/>
      <c r="F65" s="761"/>
      <c r="G65" s="761"/>
      <c r="H65" s="761" t="s">
        <v>1040</v>
      </c>
      <c r="I65" s="761"/>
      <c r="J65" s="761"/>
      <c r="K65" s="759" t="s">
        <v>981</v>
      </c>
      <c r="L65" s="760"/>
      <c r="M65" s="761" t="s">
        <v>1659</v>
      </c>
      <c r="N65" s="761"/>
      <c r="O65" s="761"/>
      <c r="R65" s="817"/>
      <c r="S65" s="817"/>
      <c r="T65" s="817"/>
      <c r="U65" s="817"/>
      <c r="V65" s="818"/>
      <c r="W65" s="497"/>
      <c r="X65" s="497"/>
      <c r="Y65" s="497"/>
      <c r="Z65" s="497"/>
      <c r="AA65" s="497"/>
      <c r="AB65" s="497"/>
      <c r="AC65" s="497"/>
      <c r="AD65" s="497"/>
      <c r="AE65" s="819"/>
      <c r="AF65" s="766"/>
      <c r="AG65" s="767"/>
      <c r="AH65" s="768"/>
    </row>
    <row r="66" spans="1:36" ht="23.25" customHeight="1">
      <c r="A66" s="757"/>
      <c r="B66" s="752">
        <f>ROUND(9*Belarus*(1-D101),2)</f>
        <v>9</v>
      </c>
      <c r="C66" s="752"/>
      <c r="D66" s="752">
        <f>ROUND(11*Belarus*(1-D101),2)</f>
        <v>11</v>
      </c>
      <c r="E66" s="752"/>
      <c r="F66" s="752"/>
      <c r="G66" s="752"/>
      <c r="H66" s="752">
        <f>ROUND(20*Belarus*(1-D101),2)</f>
        <v>20</v>
      </c>
      <c r="I66" s="752"/>
      <c r="J66" s="752"/>
      <c r="K66" s="820">
        <f>ROUND(22*Belarus*(1-D101),2)</f>
        <v>22</v>
      </c>
      <c r="L66" s="821"/>
      <c r="M66" s="752">
        <f>ROUND(45*Belarus*(1-D101),2)</f>
        <v>45</v>
      </c>
      <c r="N66" s="752"/>
      <c r="O66" s="752"/>
      <c r="R66" s="817"/>
      <c r="S66" s="817"/>
      <c r="T66" s="817"/>
      <c r="U66" s="817"/>
      <c r="V66" s="584"/>
      <c r="W66" s="585"/>
      <c r="X66" s="585"/>
      <c r="Y66" s="585"/>
      <c r="Z66" s="585"/>
      <c r="AA66" s="585"/>
      <c r="AB66" s="585"/>
      <c r="AC66" s="585"/>
      <c r="AD66" s="585"/>
      <c r="AE66" s="586"/>
      <c r="AF66" s="769"/>
      <c r="AG66" s="770"/>
      <c r="AH66" s="771"/>
    </row>
    <row r="67" spans="1:36" ht="12.75" customHeight="1">
      <c r="A67" s="340"/>
      <c r="B67" s="341"/>
      <c r="C67" s="341"/>
      <c r="D67" s="341"/>
      <c r="E67" s="341"/>
      <c r="F67" s="341"/>
      <c r="G67" s="341"/>
      <c r="H67" s="341"/>
      <c r="I67" s="341"/>
      <c r="J67" s="341"/>
      <c r="K67" s="341"/>
      <c r="L67" s="341"/>
      <c r="M67" s="341"/>
      <c r="N67" s="341"/>
      <c r="O67" s="341"/>
    </row>
    <row r="68" spans="1:36" ht="12.75" customHeight="1">
      <c r="A68" s="340"/>
      <c r="B68" s="341"/>
      <c r="C68" s="341"/>
      <c r="D68" s="341"/>
      <c r="E68" s="341"/>
      <c r="F68" s="341"/>
      <c r="G68" s="341"/>
      <c r="H68" s="341"/>
      <c r="I68" s="341"/>
      <c r="J68" s="341"/>
      <c r="K68" s="341"/>
      <c r="L68" s="341"/>
      <c r="M68" s="341"/>
      <c r="N68" s="341"/>
      <c r="O68" s="341"/>
    </row>
    <row r="69" spans="1:36" ht="17.25" customHeight="1">
      <c r="H69" s="10"/>
      <c r="I69" s="10"/>
      <c r="J69" s="10"/>
    </row>
    <row r="70" spans="1:36" ht="17.25" customHeight="1">
      <c r="H70" s="10"/>
      <c r="I70" s="10"/>
      <c r="J70" s="10"/>
    </row>
    <row r="71" spans="1:36" ht="29.25" customHeight="1">
      <c r="A71" s="561" t="s">
        <v>2080</v>
      </c>
      <c r="B71" s="562"/>
      <c r="C71" s="562"/>
      <c r="D71" s="562"/>
      <c r="E71" s="562"/>
      <c r="F71" s="562"/>
      <c r="G71" s="562"/>
      <c r="H71" s="563"/>
      <c r="I71" s="10"/>
      <c r="J71" s="762" t="s">
        <v>70</v>
      </c>
      <c r="K71" s="762"/>
      <c r="L71" s="762"/>
      <c r="M71" s="762"/>
      <c r="N71" s="762"/>
      <c r="O71" s="762"/>
      <c r="P71" s="762"/>
      <c r="Q71" s="762"/>
      <c r="R71" s="762"/>
      <c r="S71" s="762"/>
      <c r="T71" s="762"/>
      <c r="U71" s="762"/>
      <c r="V71" s="762"/>
      <c r="W71" s="762"/>
      <c r="X71" s="762"/>
      <c r="Y71" s="762"/>
      <c r="Z71" s="762"/>
      <c r="AA71" s="762"/>
      <c r="AB71" s="762"/>
      <c r="AC71" s="762"/>
      <c r="AD71" s="762"/>
      <c r="AE71" s="762"/>
      <c r="AF71" s="762"/>
      <c r="AG71" s="762"/>
      <c r="AH71" s="762"/>
      <c r="AI71" s="762"/>
      <c r="AJ71" s="762"/>
    </row>
    <row r="72" spans="1:36" ht="12.75" customHeight="1">
      <c r="A72" s="510" t="str">
        <f>"профилированная продукция "&amp;(25*Belarus)&amp;" руб./кв.м"</f>
        <v>профилированная продукция 25 руб./кв.м</v>
      </c>
      <c r="B72" s="510"/>
      <c r="C72" s="510"/>
      <c r="D72" s="510"/>
      <c r="E72" s="510"/>
      <c r="F72" s="510"/>
      <c r="G72" s="510"/>
      <c r="H72" s="510"/>
      <c r="J72" s="634" t="s">
        <v>1453</v>
      </c>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634"/>
    </row>
    <row r="73" spans="1:36" ht="12.75" customHeight="1">
      <c r="A73" s="510" t="str">
        <f>"штакетник "&amp;(2.5*Belarus)&amp;" руб./п.м"</f>
        <v>штакетник 2,5 руб./п.м</v>
      </c>
      <c r="B73" s="510"/>
      <c r="C73" s="510"/>
      <c r="D73" s="510"/>
      <c r="E73" s="510"/>
      <c r="F73" s="510"/>
      <c r="G73" s="510"/>
      <c r="H73" s="510"/>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row>
    <row r="74" spans="1:36" ht="12.75" customHeight="1">
      <c r="A74" s="507"/>
      <c r="B74" s="724"/>
      <c r="C74" s="724"/>
      <c r="D74" s="724"/>
      <c r="E74" s="724"/>
      <c r="F74" s="724"/>
      <c r="G74" s="724"/>
      <c r="H74" s="508"/>
      <c r="J74" s="510" t="str">
        <f>"(1) пл.лист в покрытии Velur изготавливается в защитной пленке - цена указана без учета стоимости пленки, т.е. к цене прайса нужно прибавить "&amp;(15*Belarus)&amp;" руб. за пленку. Фигурный профнастил изготавливается в защитной пленке - цена прайса указана с учетом стоимости нанесения пленки."</f>
        <v>(1) пл.лист в покрытии Velur изготавливается в защитной пленке - цена указана без учета стоимости пленки, т.е. к цене прайса нужно прибавить 15 руб. за пленку. Фигурный профнастил изготавливается в защитной пленке - цена прайса указана с учетом стоимости нанесения пленки.</v>
      </c>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row>
    <row r="75" spans="1:36" ht="12.75" customHeight="1">
      <c r="A75" s="513" t="s">
        <v>847</v>
      </c>
      <c r="B75" s="513"/>
      <c r="C75" s="513"/>
      <c r="D75" s="513"/>
      <c r="E75" s="513"/>
      <c r="F75" s="513"/>
      <c r="G75" s="513"/>
      <c r="H75" s="513"/>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row>
    <row r="76" spans="1:36" ht="12.75" customHeight="1">
      <c r="A76" s="83" t="s">
        <v>73</v>
      </c>
      <c r="B76" s="775" t="s">
        <v>74</v>
      </c>
      <c r="C76" s="775"/>
      <c r="D76" s="775"/>
      <c r="E76" s="795" t="s">
        <v>75</v>
      </c>
      <c r="F76" s="795"/>
      <c r="G76" s="795"/>
      <c r="H76" s="795"/>
      <c r="J76" s="601" t="s">
        <v>1510</v>
      </c>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row>
    <row r="77" spans="1:36" s="10" customFormat="1" ht="12.75" customHeight="1">
      <c r="A77" s="220" t="s">
        <v>96</v>
      </c>
      <c r="B77" s="517">
        <v>0.7</v>
      </c>
      <c r="C77" s="517"/>
      <c r="D77" s="517"/>
      <c r="E77" s="536" t="s">
        <v>76</v>
      </c>
      <c r="F77" s="536"/>
      <c r="G77" s="536"/>
      <c r="H77" s="536"/>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row>
    <row r="78" spans="1:36" s="10" customFormat="1" ht="15.75" customHeight="1">
      <c r="A78" s="220" t="s">
        <v>97</v>
      </c>
      <c r="B78" s="517">
        <v>0.3</v>
      </c>
      <c r="C78" s="517"/>
      <c r="D78" s="517"/>
      <c r="E78" s="536"/>
      <c r="F78" s="536"/>
      <c r="G78" s="536"/>
      <c r="H78" s="536"/>
      <c r="J78" s="616" t="s">
        <v>1695</v>
      </c>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row>
    <row r="79" spans="1:36" s="10" customFormat="1" ht="12.75" customHeight="1">
      <c r="A79" s="220" t="s">
        <v>98</v>
      </c>
      <c r="B79" s="517">
        <v>0.15</v>
      </c>
      <c r="C79" s="517"/>
      <c r="D79" s="517"/>
      <c r="E79" s="536"/>
      <c r="F79" s="536"/>
      <c r="G79" s="536"/>
      <c r="H79" s="536"/>
      <c r="J79" s="616"/>
      <c r="K79" s="616"/>
      <c r="L79" s="616"/>
      <c r="M79" s="616"/>
      <c r="N79" s="616"/>
      <c r="O79" s="616"/>
      <c r="P79" s="616"/>
      <c r="Q79" s="616"/>
      <c r="R79" s="616"/>
      <c r="S79" s="616"/>
      <c r="T79" s="616"/>
      <c r="U79" s="616"/>
      <c r="V79" s="616"/>
      <c r="W79" s="616"/>
      <c r="X79" s="616"/>
      <c r="Y79" s="616"/>
      <c r="Z79" s="616"/>
      <c r="AA79" s="616"/>
      <c r="AB79" s="616"/>
      <c r="AC79" s="616"/>
      <c r="AD79" s="616"/>
      <c r="AE79" s="616"/>
      <c r="AF79" s="616"/>
      <c r="AG79" s="616"/>
      <c r="AH79" s="616"/>
      <c r="AI79" s="616"/>
      <c r="AJ79" s="616"/>
    </row>
    <row r="80" spans="1:36" s="10" customFormat="1" ht="12.75" customHeight="1">
      <c r="A80" s="220" t="s">
        <v>99</v>
      </c>
      <c r="B80" s="517" t="s">
        <v>77</v>
      </c>
      <c r="C80" s="517"/>
      <c r="D80" s="517"/>
      <c r="E80" s="568" t="s">
        <v>78</v>
      </c>
      <c r="F80" s="568"/>
      <c r="G80" s="568"/>
      <c r="H80" s="568"/>
      <c r="J80" s="534" t="s">
        <v>1618</v>
      </c>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534"/>
    </row>
    <row r="81" spans="1:36" ht="12.75" customHeight="1">
      <c r="A81" s="512" t="s">
        <v>100</v>
      </c>
      <c r="B81" s="512"/>
      <c r="C81" s="512"/>
      <c r="D81" s="512"/>
      <c r="E81" s="512"/>
      <c r="F81" s="512"/>
      <c r="G81" s="512"/>
      <c r="H81" s="512"/>
      <c r="J81" s="800" t="s">
        <v>1508</v>
      </c>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c r="AH81" s="800"/>
      <c r="AI81" s="800"/>
      <c r="AJ81" s="800"/>
    </row>
    <row r="82" spans="1:36" ht="12.75" customHeight="1">
      <c r="A82" s="797"/>
      <c r="B82" s="798"/>
      <c r="C82" s="798"/>
      <c r="D82" s="798"/>
      <c r="E82" s="798"/>
      <c r="F82" s="798"/>
      <c r="G82" s="798"/>
      <c r="H82" s="799"/>
      <c r="J82" s="616" t="s">
        <v>2079</v>
      </c>
      <c r="K82" s="616"/>
      <c r="L82" s="616"/>
      <c r="M82" s="616"/>
      <c r="N82" s="616"/>
      <c r="O82" s="616"/>
      <c r="P82" s="616"/>
      <c r="Q82" s="616"/>
      <c r="R82" s="616"/>
      <c r="S82" s="616"/>
      <c r="T82" s="616"/>
      <c r="U82" s="616"/>
      <c r="V82" s="616"/>
      <c r="W82" s="616"/>
      <c r="X82" s="616"/>
      <c r="Y82" s="616"/>
      <c r="Z82" s="616"/>
      <c r="AA82" s="616"/>
      <c r="AB82" s="616"/>
      <c r="AC82" s="616"/>
      <c r="AD82" s="616"/>
      <c r="AE82" s="616"/>
      <c r="AF82" s="616"/>
      <c r="AG82" s="616"/>
      <c r="AH82" s="616"/>
      <c r="AI82" s="616"/>
      <c r="AJ82" s="616"/>
    </row>
    <row r="83" spans="1:36" ht="12.75" customHeight="1">
      <c r="A83" s="498" t="s">
        <v>1502</v>
      </c>
      <c r="B83" s="498"/>
      <c r="C83" s="498"/>
      <c r="D83" s="498"/>
      <c r="E83" s="498"/>
      <c r="F83" s="498"/>
      <c r="G83" s="498"/>
      <c r="H83" s="498"/>
      <c r="J83" s="534" t="s">
        <v>129</v>
      </c>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row>
    <row r="84" spans="1:36" ht="12.75" customHeight="1">
      <c r="A84" s="510" t="s">
        <v>846</v>
      </c>
      <c r="B84" s="510"/>
      <c r="C84" s="510"/>
      <c r="D84" s="510"/>
      <c r="E84" s="779" t="str">
        <f>ROUND(15*Belarus,2)&amp;" руб./кв.м"</f>
        <v>15 руб./кв.м</v>
      </c>
      <c r="F84" s="779"/>
      <c r="G84" s="779"/>
      <c r="H84" s="779"/>
      <c r="J84" s="801" t="s">
        <v>1619</v>
      </c>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801"/>
      <c r="AH84" s="801"/>
      <c r="AI84" s="801"/>
      <c r="AJ84" s="801"/>
    </row>
    <row r="85" spans="1:36" ht="12.75" customHeight="1">
      <c r="A85" s="772"/>
      <c r="B85" s="773"/>
      <c r="C85" s="773"/>
      <c r="D85" s="773"/>
      <c r="E85" s="773"/>
      <c r="F85" s="773"/>
      <c r="G85" s="773"/>
      <c r="H85" s="774"/>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row>
    <row r="86" spans="1:36" ht="12.75" customHeight="1">
      <c r="A86" s="796" t="s">
        <v>101</v>
      </c>
      <c r="B86" s="796"/>
      <c r="C86" s="796"/>
      <c r="D86" s="796"/>
      <c r="E86" s="796"/>
      <c r="F86" s="796"/>
      <c r="G86" s="796"/>
      <c r="H86" s="796"/>
      <c r="J86" s="802" t="s">
        <v>1507</v>
      </c>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c r="AH86" s="802"/>
      <c r="AI86" s="802"/>
      <c r="AJ86" s="802"/>
    </row>
    <row r="87" spans="1:36" ht="12.75" customHeight="1">
      <c r="A87" s="510" t="s">
        <v>1524</v>
      </c>
      <c r="B87" s="510"/>
      <c r="C87" s="510"/>
      <c r="D87" s="510"/>
      <c r="E87" s="741" t="str">
        <f>(1000*Belarus)&amp;" руб."</f>
        <v>1000 руб.</v>
      </c>
      <c r="F87" s="741"/>
      <c r="G87" s="741"/>
      <c r="H87" s="741"/>
    </row>
    <row r="88" spans="1:36">
      <c r="A88" s="510" t="s">
        <v>1525</v>
      </c>
      <c r="B88" s="510"/>
      <c r="C88" s="510"/>
      <c r="D88" s="510"/>
      <c r="E88" s="741" t="str">
        <f>(400*Belarus)&amp;" руб."</f>
        <v>400 руб.</v>
      </c>
      <c r="F88" s="741"/>
      <c r="G88" s="741"/>
      <c r="H88" s="741"/>
    </row>
    <row r="89" spans="1:36">
      <c r="A89" s="44"/>
      <c r="B89" s="44"/>
      <c r="C89" s="44"/>
      <c r="D89" s="44"/>
      <c r="E89" s="113"/>
      <c r="F89" s="113"/>
      <c r="G89" s="113"/>
      <c r="H89" s="113"/>
    </row>
    <row r="90" spans="1:36">
      <c r="A90" s="44"/>
      <c r="B90" s="44"/>
      <c r="C90" s="44"/>
      <c r="D90" s="44"/>
      <c r="E90" s="113"/>
      <c r="F90" s="113"/>
      <c r="G90" s="113"/>
      <c r="H90" s="113"/>
    </row>
    <row r="93" spans="1:36" ht="21.75" customHeight="1">
      <c r="A93" s="564" t="s">
        <v>79</v>
      </c>
      <c r="B93" s="564"/>
      <c r="C93" s="564"/>
      <c r="D93" s="527" t="s">
        <v>23</v>
      </c>
      <c r="E93" s="527"/>
      <c r="F93" s="527"/>
      <c r="G93" s="527"/>
      <c r="H93" s="527" t="s">
        <v>1458</v>
      </c>
      <c r="I93" s="545" t="s">
        <v>24</v>
      </c>
      <c r="J93" s="546"/>
      <c r="K93" s="546"/>
      <c r="L93" s="546"/>
      <c r="M93" s="546"/>
      <c r="N93" s="545" t="s">
        <v>1436</v>
      </c>
      <c r="O93" s="547"/>
      <c r="P93" s="545" t="s">
        <v>1437</v>
      </c>
      <c r="Q93" s="547"/>
      <c r="R93" s="526" t="s">
        <v>1710</v>
      </c>
      <c r="S93" s="545" t="s">
        <v>760</v>
      </c>
      <c r="T93" s="547"/>
      <c r="U93" s="526" t="s">
        <v>1551</v>
      </c>
      <c r="V93" s="545" t="s">
        <v>34</v>
      </c>
      <c r="W93" s="547"/>
      <c r="X93" s="545" t="s">
        <v>35</v>
      </c>
      <c r="Y93" s="547"/>
      <c r="Z93" s="527" t="s">
        <v>36</v>
      </c>
      <c r="AA93" s="564">
        <v>0.8</v>
      </c>
      <c r="AB93" s="564">
        <v>0.7</v>
      </c>
      <c r="AC93" s="582">
        <v>0.45</v>
      </c>
      <c r="AD93" s="599"/>
      <c r="AE93" s="564">
        <v>0.4</v>
      </c>
      <c r="AF93" s="526" t="s">
        <v>1709</v>
      </c>
      <c r="AG93" s="545" t="s">
        <v>139</v>
      </c>
      <c r="AH93" s="527" t="s">
        <v>138</v>
      </c>
      <c r="AI93" s="527" t="s">
        <v>2013</v>
      </c>
      <c r="AJ93" s="527" t="s">
        <v>2013</v>
      </c>
    </row>
    <row r="94" spans="1:36" ht="29.25" customHeight="1">
      <c r="A94" s="564"/>
      <c r="B94" s="564"/>
      <c r="C94" s="564"/>
      <c r="D94" s="527"/>
      <c r="E94" s="527"/>
      <c r="F94" s="527"/>
      <c r="G94" s="527"/>
      <c r="H94" s="527"/>
      <c r="I94" s="548"/>
      <c r="J94" s="549"/>
      <c r="K94" s="549"/>
      <c r="L94" s="549"/>
      <c r="M94" s="549"/>
      <c r="N94" s="548"/>
      <c r="O94" s="550"/>
      <c r="P94" s="548"/>
      <c r="Q94" s="550"/>
      <c r="R94" s="551"/>
      <c r="S94" s="548"/>
      <c r="T94" s="550"/>
      <c r="U94" s="551"/>
      <c r="V94" s="548"/>
      <c r="W94" s="550"/>
      <c r="X94" s="548"/>
      <c r="Y94" s="550"/>
      <c r="Z94" s="527"/>
      <c r="AA94" s="564"/>
      <c r="AB94" s="564"/>
      <c r="AC94" s="583"/>
      <c r="AD94" s="600"/>
      <c r="AE94" s="564"/>
      <c r="AF94" s="566"/>
      <c r="AG94" s="548"/>
      <c r="AH94" s="527"/>
      <c r="AI94" s="527"/>
      <c r="AJ94" s="527"/>
    </row>
    <row r="95" spans="1:36" ht="15" customHeight="1">
      <c r="A95" s="565" t="s">
        <v>81</v>
      </c>
      <c r="B95" s="565"/>
      <c r="C95" s="565"/>
      <c r="D95" s="543">
        <v>0</v>
      </c>
      <c r="E95" s="543"/>
      <c r="F95" s="543"/>
      <c r="G95" s="543"/>
      <c r="H95" s="543">
        <v>0</v>
      </c>
      <c r="I95" s="542">
        <v>0</v>
      </c>
      <c r="J95" s="552"/>
      <c r="K95" s="552"/>
      <c r="L95" s="552"/>
      <c r="M95" s="552"/>
      <c r="N95" s="542">
        <v>0</v>
      </c>
      <c r="O95" s="553"/>
      <c r="P95" s="542">
        <v>0</v>
      </c>
      <c r="Q95" s="553"/>
      <c r="R95" s="293">
        <v>0</v>
      </c>
      <c r="S95" s="541">
        <v>0</v>
      </c>
      <c r="T95" s="544"/>
      <c r="U95" s="293">
        <v>0</v>
      </c>
      <c r="V95" s="541">
        <v>0</v>
      </c>
      <c r="W95" s="544"/>
      <c r="X95" s="541">
        <v>0</v>
      </c>
      <c r="Y95" s="544"/>
      <c r="Z95" s="153">
        <v>0</v>
      </c>
      <c r="AA95" s="153">
        <v>0</v>
      </c>
      <c r="AB95" s="153">
        <v>0</v>
      </c>
      <c r="AC95" s="541">
        <v>0</v>
      </c>
      <c r="AD95" s="544"/>
      <c r="AE95" s="153">
        <v>0</v>
      </c>
      <c r="AF95" s="153">
        <v>0</v>
      </c>
      <c r="AG95" s="153">
        <v>0</v>
      </c>
      <c r="AH95" s="153">
        <v>0</v>
      </c>
      <c r="AI95" s="153">
        <v>0</v>
      </c>
      <c r="AJ95" s="153">
        <v>0</v>
      </c>
    </row>
    <row r="96" spans="1:36">
      <c r="A96" s="565" t="s">
        <v>82</v>
      </c>
      <c r="B96" s="565"/>
      <c r="C96" s="565"/>
      <c r="D96" s="543"/>
      <c r="E96" s="543"/>
      <c r="F96" s="543"/>
      <c r="G96" s="543"/>
      <c r="H96" s="543"/>
      <c r="I96" s="554"/>
      <c r="J96" s="555"/>
      <c r="K96" s="555"/>
      <c r="L96" s="555"/>
      <c r="M96" s="555"/>
      <c r="N96" s="554"/>
      <c r="O96" s="556"/>
      <c r="P96" s="554"/>
      <c r="Q96" s="556"/>
      <c r="R96" s="293">
        <v>0</v>
      </c>
      <c r="S96" s="541">
        <v>0</v>
      </c>
      <c r="T96" s="544"/>
      <c r="U96" s="293">
        <v>0</v>
      </c>
      <c r="V96" s="541">
        <v>0</v>
      </c>
      <c r="W96" s="544"/>
      <c r="X96" s="541">
        <v>0</v>
      </c>
      <c r="Y96" s="544"/>
      <c r="Z96" s="153">
        <v>0</v>
      </c>
      <c r="AA96" s="153">
        <v>0</v>
      </c>
      <c r="AB96" s="153">
        <v>0</v>
      </c>
      <c r="AC96" s="541">
        <v>0</v>
      </c>
      <c r="AD96" s="544"/>
      <c r="AE96" s="153">
        <v>0</v>
      </c>
      <c r="AF96" s="153">
        <v>0</v>
      </c>
      <c r="AG96" s="153">
        <v>0</v>
      </c>
      <c r="AH96" s="153">
        <v>0</v>
      </c>
      <c r="AI96" s="153">
        <v>0</v>
      </c>
      <c r="AJ96" s="153">
        <v>0</v>
      </c>
    </row>
    <row r="97" spans="1:36">
      <c r="A97" s="565" t="s">
        <v>1920</v>
      </c>
      <c r="B97" s="565"/>
      <c r="C97" s="565"/>
      <c r="D97" s="543">
        <v>0</v>
      </c>
      <c r="E97" s="543"/>
      <c r="F97" s="543"/>
      <c r="G97" s="543"/>
      <c r="H97" s="543"/>
      <c r="I97" s="543"/>
      <c r="J97" s="543"/>
      <c r="K97" s="543"/>
      <c r="L97" s="543"/>
      <c r="M97" s="543"/>
      <c r="N97" s="543"/>
      <c r="O97" s="543"/>
      <c r="P97" s="543"/>
      <c r="Q97" s="543"/>
      <c r="R97" s="543"/>
      <c r="S97" s="543"/>
      <c r="T97" s="543"/>
      <c r="U97" s="543"/>
      <c r="V97" s="543"/>
      <c r="W97" s="543"/>
      <c r="X97" s="543"/>
      <c r="Y97" s="543"/>
      <c r="Z97" s="543"/>
      <c r="AA97" s="543"/>
      <c r="AB97" s="543"/>
      <c r="AC97" s="543"/>
      <c r="AD97" s="543"/>
      <c r="AE97" s="543"/>
      <c r="AF97" s="543"/>
      <c r="AG97" s="543"/>
      <c r="AH97" s="543"/>
      <c r="AI97" s="543"/>
      <c r="AJ97" s="543"/>
    </row>
    <row r="98" spans="1:36" hidden="1">
      <c r="A98" s="565" t="s">
        <v>12</v>
      </c>
      <c r="B98" s="565"/>
      <c r="C98" s="565"/>
      <c r="D98" s="543">
        <v>0</v>
      </c>
      <c r="E98" s="543"/>
      <c r="F98" s="543"/>
      <c r="G98" s="543"/>
      <c r="H98" s="543"/>
      <c r="I98" s="543"/>
      <c r="J98" s="543"/>
      <c r="K98" s="543"/>
      <c r="L98" s="543"/>
      <c r="M98" s="543"/>
      <c r="N98" s="543"/>
      <c r="O98" s="543"/>
      <c r="P98" s="543"/>
      <c r="Q98" s="543"/>
      <c r="R98" s="543"/>
      <c r="S98" s="543"/>
      <c r="T98" s="543"/>
      <c r="U98" s="543"/>
      <c r="V98" s="543"/>
      <c r="W98" s="543"/>
      <c r="X98" s="543"/>
      <c r="Y98" s="543"/>
      <c r="Z98" s="543"/>
      <c r="AA98" s="543"/>
      <c r="AB98" s="543"/>
      <c r="AC98" s="543"/>
      <c r="AD98" s="543"/>
      <c r="AE98" s="543"/>
      <c r="AF98" s="543"/>
      <c r="AG98" s="543"/>
      <c r="AH98" s="543"/>
      <c r="AI98" s="108"/>
      <c r="AJ98" s="108"/>
    </row>
    <row r="99" spans="1:36">
      <c r="A99" s="565" t="s">
        <v>1917</v>
      </c>
      <c r="B99" s="565"/>
      <c r="C99" s="565"/>
      <c r="D99" s="543">
        <v>0</v>
      </c>
      <c r="E99" s="543"/>
      <c r="F99" s="543"/>
      <c r="G99" s="543"/>
      <c r="H99" s="543"/>
      <c r="I99" s="543"/>
      <c r="J99" s="543"/>
      <c r="K99" s="543"/>
      <c r="L99" s="543"/>
      <c r="M99" s="543"/>
      <c r="N99" s="543"/>
      <c r="O99" s="543"/>
      <c r="P99" s="543"/>
      <c r="Q99" s="543"/>
      <c r="R99" s="543"/>
      <c r="S99" s="543"/>
      <c r="T99" s="543"/>
      <c r="U99" s="543"/>
      <c r="V99" s="543"/>
      <c r="W99" s="543"/>
      <c r="X99" s="543"/>
      <c r="Y99" s="543"/>
      <c r="Z99" s="543"/>
      <c r="AA99" s="543"/>
      <c r="AB99" s="543"/>
      <c r="AC99" s="543"/>
      <c r="AD99" s="543"/>
      <c r="AE99" s="543"/>
      <c r="AF99" s="543"/>
      <c r="AG99" s="543"/>
      <c r="AH99" s="543"/>
      <c r="AI99" s="543"/>
      <c r="AJ99" s="543"/>
    </row>
    <row r="100" spans="1:36">
      <c r="A100" s="780" t="s">
        <v>1598</v>
      </c>
      <c r="B100" s="780"/>
      <c r="C100" s="780"/>
      <c r="D100" s="581">
        <v>0</v>
      </c>
      <c r="E100" s="581"/>
      <c r="F100" s="581"/>
      <c r="G100" s="581"/>
      <c r="H100" s="581"/>
      <c r="I100" s="581"/>
      <c r="J100" s="581"/>
      <c r="K100" s="581"/>
      <c r="L100" s="581"/>
      <c r="M100" s="581"/>
      <c r="N100" s="581"/>
      <c r="O100" s="581"/>
      <c r="P100" s="581"/>
      <c r="Q100" s="581"/>
      <c r="R100" s="581"/>
      <c r="S100" s="581"/>
      <c r="T100" s="581"/>
      <c r="U100" s="581"/>
      <c r="V100" s="581"/>
      <c r="W100" s="581"/>
      <c r="X100" s="581"/>
      <c r="Y100" s="581"/>
      <c r="Z100" s="581"/>
      <c r="AA100" s="581"/>
      <c r="AB100" s="581"/>
      <c r="AC100" s="581"/>
      <c r="AD100" s="581"/>
      <c r="AE100" s="581"/>
      <c r="AF100" s="581"/>
      <c r="AG100" s="581"/>
      <c r="AH100" s="581"/>
      <c r="AI100" s="581"/>
      <c r="AJ100" s="581"/>
    </row>
    <row r="101" spans="1:36" ht="12.75" customHeight="1">
      <c r="A101" s="777" t="s">
        <v>1451</v>
      </c>
      <c r="B101" s="777"/>
      <c r="C101" s="778"/>
      <c r="D101" s="581">
        <v>0</v>
      </c>
      <c r="E101" s="581"/>
      <c r="F101" s="581"/>
      <c r="G101" s="581"/>
      <c r="H101" s="581"/>
      <c r="I101" s="581"/>
      <c r="J101" s="581"/>
      <c r="K101" s="581"/>
      <c r="L101" s="581"/>
      <c r="M101" s="581"/>
      <c r="N101" s="581"/>
      <c r="O101" s="581"/>
      <c r="P101" s="581"/>
      <c r="Q101" s="581"/>
      <c r="R101" s="581"/>
      <c r="S101" s="581"/>
      <c r="T101" s="581"/>
      <c r="U101" s="581"/>
      <c r="V101" s="581"/>
      <c r="W101" s="581"/>
      <c r="X101" s="581"/>
      <c r="Y101" s="581"/>
      <c r="Z101" s="581"/>
      <c r="AA101" s="581"/>
      <c r="AB101" s="581"/>
      <c r="AC101" s="581"/>
      <c r="AD101" s="581"/>
      <c r="AE101" s="581"/>
      <c r="AF101" s="581"/>
      <c r="AG101" s="581"/>
      <c r="AH101" s="581"/>
      <c r="AI101" s="581"/>
      <c r="AJ101" s="581"/>
    </row>
    <row r="102" spans="1:36">
      <c r="A102" s="777" t="s">
        <v>1941</v>
      </c>
      <c r="B102" s="777"/>
      <c r="C102" s="778"/>
      <c r="D102" s="581">
        <v>0</v>
      </c>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row>
    <row r="104" spans="1:36" ht="12.75" customHeight="1"/>
    <row r="105" spans="1:36" ht="12.75" customHeight="1">
      <c r="A105" s="279"/>
      <c r="B105" s="279"/>
      <c r="C105" s="279"/>
    </row>
    <row r="106" spans="1:36" ht="12.75" customHeight="1">
      <c r="A106" s="354" t="s">
        <v>1598</v>
      </c>
      <c r="C106" s="279"/>
    </row>
    <row r="107" spans="1:36" ht="12.75" customHeight="1">
      <c r="A107" s="313" t="s">
        <v>1615</v>
      </c>
      <c r="C107" s="279"/>
    </row>
    <row r="108" spans="1:36" ht="15">
      <c r="A108" s="314">
        <v>0.57999999999999996</v>
      </c>
      <c r="C108" s="279"/>
    </row>
    <row r="109" spans="1:36" ht="15">
      <c r="A109" s="314">
        <v>0.69</v>
      </c>
      <c r="C109" s="279"/>
    </row>
    <row r="110" spans="1:36" ht="15">
      <c r="A110" s="314">
        <v>0.8</v>
      </c>
      <c r="C110" s="279"/>
    </row>
    <row r="111" spans="1:36" ht="12.75" customHeight="1">
      <c r="A111" s="314">
        <v>0.91</v>
      </c>
      <c r="C111" s="279"/>
    </row>
    <row r="112" spans="1:36" ht="15">
      <c r="A112" s="314">
        <v>1.02</v>
      </c>
      <c r="C112" s="279"/>
    </row>
    <row r="113" spans="1:3" ht="12.75" customHeight="1">
      <c r="A113" s="314">
        <v>1.1299999999999999</v>
      </c>
      <c r="C113" s="279"/>
    </row>
    <row r="114" spans="1:3" ht="12.75" customHeight="1">
      <c r="A114" s="314">
        <v>1.24</v>
      </c>
      <c r="C114" s="279"/>
    </row>
    <row r="115" spans="1:3" ht="15">
      <c r="A115" s="314">
        <v>1.35</v>
      </c>
      <c r="C115" s="279"/>
    </row>
    <row r="116" spans="1:3" ht="15">
      <c r="A116" s="314">
        <v>1.46</v>
      </c>
      <c r="C116" s="279"/>
    </row>
    <row r="117" spans="1:3" ht="15">
      <c r="A117" s="314">
        <v>1.57</v>
      </c>
      <c r="C117" s="279"/>
    </row>
    <row r="118" spans="1:3" ht="12.75" customHeight="1">
      <c r="A118" s="314">
        <v>1.68</v>
      </c>
      <c r="C118" s="279"/>
    </row>
    <row r="119" spans="1:3" ht="15">
      <c r="A119" s="314">
        <v>1.79</v>
      </c>
      <c r="C119" s="279"/>
    </row>
    <row r="120" spans="1:3" ht="15">
      <c r="A120" s="314">
        <v>1.9</v>
      </c>
      <c r="C120" s="279"/>
    </row>
    <row r="121" spans="1:3" ht="15">
      <c r="A121" s="314">
        <v>2.0099999999999998</v>
      </c>
      <c r="C121" s="279"/>
    </row>
    <row r="122" spans="1:3">
      <c r="A122" s="279"/>
      <c r="B122" s="279"/>
      <c r="C122" s="279"/>
    </row>
    <row r="123" spans="1:3">
      <c r="A123" s="279"/>
      <c r="B123" s="279"/>
      <c r="C123" s="279"/>
    </row>
    <row r="124" spans="1:3">
      <c r="A124" s="279"/>
      <c r="B124" s="279"/>
      <c r="C124" s="279"/>
    </row>
  </sheetData>
  <sheetProtection selectLockedCells="1" selectUnlockedCells="1"/>
  <mergeCells count="293">
    <mergeCell ref="AI36:AJ36"/>
    <mergeCell ref="AC39:AD39"/>
    <mergeCell ref="J57:AH57"/>
    <mergeCell ref="A102:C102"/>
    <mergeCell ref="R62:AH62"/>
    <mergeCell ref="R63:U63"/>
    <mergeCell ref="R64:U66"/>
    <mergeCell ref="V63:AE63"/>
    <mergeCell ref="AF63:AH63"/>
    <mergeCell ref="V64:AE66"/>
    <mergeCell ref="K66:L66"/>
    <mergeCell ref="N46:O46"/>
    <mergeCell ref="N42:O42"/>
    <mergeCell ref="P44:Q44"/>
    <mergeCell ref="S45:T45"/>
    <mergeCell ref="N45:O45"/>
    <mergeCell ref="P45:Q45"/>
    <mergeCell ref="S42:T42"/>
    <mergeCell ref="N54:O54"/>
    <mergeCell ref="A57:G58"/>
    <mergeCell ref="N44:O44"/>
    <mergeCell ref="AC46:AD46"/>
    <mergeCell ref="AC44:AD44"/>
    <mergeCell ref="X44:Y44"/>
    <mergeCell ref="J54:L54"/>
    <mergeCell ref="A56:G56"/>
    <mergeCell ref="J55:L55"/>
    <mergeCell ref="P39:Q39"/>
    <mergeCell ref="S39:T39"/>
    <mergeCell ref="V39:W39"/>
    <mergeCell ref="P43:Q43"/>
    <mergeCell ref="X43:Y43"/>
    <mergeCell ref="S44:T44"/>
    <mergeCell ref="S43:T43"/>
    <mergeCell ref="S41:T41"/>
    <mergeCell ref="P41:Q41"/>
    <mergeCell ref="J53:L53"/>
    <mergeCell ref="N53:O53"/>
    <mergeCell ref="B54:F54"/>
    <mergeCell ref="B55:F55"/>
    <mergeCell ref="E42:F42"/>
    <mergeCell ref="E43:F43"/>
    <mergeCell ref="E44:F44"/>
    <mergeCell ref="G45:H45"/>
    <mergeCell ref="G39:H39"/>
    <mergeCell ref="AA39:AB39"/>
    <mergeCell ref="AA42:AB42"/>
    <mergeCell ref="AA40:AB40"/>
    <mergeCell ref="AC40:AD40"/>
    <mergeCell ref="V41:W41"/>
    <mergeCell ref="V42:W42"/>
    <mergeCell ref="X39:Y39"/>
    <mergeCell ref="P54:V54"/>
    <mergeCell ref="P51:V51"/>
    <mergeCell ref="V44:W44"/>
    <mergeCell ref="S40:T40"/>
    <mergeCell ref="P53:V53"/>
    <mergeCell ref="Y53:Z53"/>
    <mergeCell ref="W53:X53"/>
    <mergeCell ref="AG54:AH55"/>
    <mergeCell ref="N55:O55"/>
    <mergeCell ref="P55:V55"/>
    <mergeCell ref="W54:X54"/>
    <mergeCell ref="AF54:AF55"/>
    <mergeCell ref="N40:O40"/>
    <mergeCell ref="N41:O41"/>
    <mergeCell ref="X40:Y40"/>
    <mergeCell ref="X41:Y41"/>
    <mergeCell ref="N43:O43"/>
    <mergeCell ref="P40:Q40"/>
    <mergeCell ref="V40:W40"/>
    <mergeCell ref="AC43:AD43"/>
    <mergeCell ref="P42:Q42"/>
    <mergeCell ref="X42:Y42"/>
    <mergeCell ref="AC41:AD41"/>
    <mergeCell ref="AC42:AD42"/>
    <mergeCell ref="AA44:AB44"/>
    <mergeCell ref="AA43:AB43"/>
    <mergeCell ref="AA41:AB41"/>
    <mergeCell ref="W52:X52"/>
    <mergeCell ref="P46:Q46"/>
    <mergeCell ref="S46:T46"/>
    <mergeCell ref="AG52:AH52"/>
    <mergeCell ref="AG53:AH53"/>
    <mergeCell ref="J52:L52"/>
    <mergeCell ref="N52:O52"/>
    <mergeCell ref="AA46:AB46"/>
    <mergeCell ref="V46:W46"/>
    <mergeCell ref="A38:A39"/>
    <mergeCell ref="B38:M38"/>
    <mergeCell ref="G40:H40"/>
    <mergeCell ref="A50:G51"/>
    <mergeCell ref="J50:AH50"/>
    <mergeCell ref="G41:H41"/>
    <mergeCell ref="A49:G49"/>
    <mergeCell ref="G43:H43"/>
    <mergeCell ref="G42:H42"/>
    <mergeCell ref="G44:H44"/>
    <mergeCell ref="G46:H46"/>
    <mergeCell ref="N39:O39"/>
    <mergeCell ref="V45:W45"/>
    <mergeCell ref="X45:Y45"/>
    <mergeCell ref="N38:AD38"/>
    <mergeCell ref="B52:F52"/>
    <mergeCell ref="E39:F39"/>
    <mergeCell ref="E40:F40"/>
    <mergeCell ref="E41:F41"/>
    <mergeCell ref="E88:H88"/>
    <mergeCell ref="B79:D79"/>
    <mergeCell ref="B80:D80"/>
    <mergeCell ref="E87:H87"/>
    <mergeCell ref="E76:H76"/>
    <mergeCell ref="A86:H86"/>
    <mergeCell ref="A83:H83"/>
    <mergeCell ref="N95:O96"/>
    <mergeCell ref="X96:Y96"/>
    <mergeCell ref="S96:T96"/>
    <mergeCell ref="I93:M94"/>
    <mergeCell ref="A82:H82"/>
    <mergeCell ref="J80:AJ80"/>
    <mergeCell ref="J81:AJ81"/>
    <mergeCell ref="J82:AJ82"/>
    <mergeCell ref="J83:AJ83"/>
    <mergeCell ref="J84:AJ85"/>
    <mergeCell ref="J86:AJ86"/>
    <mergeCell ref="U93:U94"/>
    <mergeCell ref="P93:Q94"/>
    <mergeCell ref="A1:D1"/>
    <mergeCell ref="A4:A7"/>
    <mergeCell ref="B4:B7"/>
    <mergeCell ref="C4:C7"/>
    <mergeCell ref="A2:AA2"/>
    <mergeCell ref="T12:T33"/>
    <mergeCell ref="O12:O33"/>
    <mergeCell ref="A8:C8"/>
    <mergeCell ref="N8:O8"/>
    <mergeCell ref="P10:Q10"/>
    <mergeCell ref="AG35:AH35"/>
    <mergeCell ref="S10:T10"/>
    <mergeCell ref="Q12:Q33"/>
    <mergeCell ref="A10:C10"/>
    <mergeCell ref="D30:G30"/>
    <mergeCell ref="N9:O9"/>
    <mergeCell ref="N10:O10"/>
    <mergeCell ref="A9:C9"/>
    <mergeCell ref="D32:G32"/>
    <mergeCell ref="D31:G31"/>
    <mergeCell ref="AD12:AD33"/>
    <mergeCell ref="A35:AA35"/>
    <mergeCell ref="V9:W9"/>
    <mergeCell ref="D33:G33"/>
    <mergeCell ref="AF5:AF7"/>
    <mergeCell ref="P8:Q8"/>
    <mergeCell ref="X8:Y8"/>
    <mergeCell ref="AG8:AG9"/>
    <mergeCell ref="V8:W8"/>
    <mergeCell ref="X10:Y10"/>
    <mergeCell ref="V10:W10"/>
    <mergeCell ref="D5:G5"/>
    <mergeCell ref="N5:O7"/>
    <mergeCell ref="H5:H7"/>
    <mergeCell ref="AA5:AE7"/>
    <mergeCell ref="P5:Q7"/>
    <mergeCell ref="X7:Y7"/>
    <mergeCell ref="R5:R7"/>
    <mergeCell ref="V7:W7"/>
    <mergeCell ref="S5:T7"/>
    <mergeCell ref="V5:Y6"/>
    <mergeCell ref="I5:M6"/>
    <mergeCell ref="F8:G8"/>
    <mergeCell ref="F9:G9"/>
    <mergeCell ref="F10:G10"/>
    <mergeCell ref="A101:C101"/>
    <mergeCell ref="A84:D84"/>
    <mergeCell ref="E84:H84"/>
    <mergeCell ref="R93:R94"/>
    <mergeCell ref="A87:D87"/>
    <mergeCell ref="A93:C94"/>
    <mergeCell ref="A95:C95"/>
    <mergeCell ref="A88:D88"/>
    <mergeCell ref="D93:G94"/>
    <mergeCell ref="D98:AH98"/>
    <mergeCell ref="V95:W95"/>
    <mergeCell ref="D95:G96"/>
    <mergeCell ref="V96:W96"/>
    <mergeCell ref="P95:Q96"/>
    <mergeCell ref="AC96:AD96"/>
    <mergeCell ref="A100:C100"/>
    <mergeCell ref="A96:C96"/>
    <mergeCell ref="A97:C97"/>
    <mergeCell ref="A98:C98"/>
    <mergeCell ref="A99:C99"/>
    <mergeCell ref="H95:H96"/>
    <mergeCell ref="S95:T95"/>
    <mergeCell ref="X95:Y95"/>
    <mergeCell ref="AC93:AD94"/>
    <mergeCell ref="J71:AJ71"/>
    <mergeCell ref="AF64:AH66"/>
    <mergeCell ref="H65:J65"/>
    <mergeCell ref="AG51:AH51"/>
    <mergeCell ref="N51:O51"/>
    <mergeCell ref="A75:H75"/>
    <mergeCell ref="E80:H80"/>
    <mergeCell ref="E77:H79"/>
    <mergeCell ref="A85:H85"/>
    <mergeCell ref="A71:H71"/>
    <mergeCell ref="B78:D78"/>
    <mergeCell ref="B77:D77"/>
    <mergeCell ref="A81:H81"/>
    <mergeCell ref="B76:D76"/>
    <mergeCell ref="A52:A55"/>
    <mergeCell ref="A73:H73"/>
    <mergeCell ref="A74:H74"/>
    <mergeCell ref="A62:O62"/>
    <mergeCell ref="AA52:AE52"/>
    <mergeCell ref="W55:X55"/>
    <mergeCell ref="Y52:Z52"/>
    <mergeCell ref="AA53:AE53"/>
    <mergeCell ref="AA54:AE55"/>
    <mergeCell ref="P52:V52"/>
    <mergeCell ref="B63:O63"/>
    <mergeCell ref="D66:G66"/>
    <mergeCell ref="A72:H72"/>
    <mergeCell ref="D4:AJ4"/>
    <mergeCell ref="AI2:AJ2"/>
    <mergeCell ref="AI3:AJ3"/>
    <mergeCell ref="A37:AJ37"/>
    <mergeCell ref="Z5:Z7"/>
    <mergeCell ref="U5:U7"/>
    <mergeCell ref="A64:A66"/>
    <mergeCell ref="B64:O64"/>
    <mergeCell ref="H66:J66"/>
    <mergeCell ref="M66:O66"/>
    <mergeCell ref="J51:L51"/>
    <mergeCell ref="Y51:Z51"/>
    <mergeCell ref="W51:X51"/>
    <mergeCell ref="Y55:Z55"/>
    <mergeCell ref="Y54:Z54"/>
    <mergeCell ref="K65:L65"/>
    <mergeCell ref="AA51:AE51"/>
    <mergeCell ref="B65:C65"/>
    <mergeCell ref="D65:G65"/>
    <mergeCell ref="M65:O65"/>
    <mergeCell ref="B66:C66"/>
    <mergeCell ref="J72:AJ73"/>
    <mergeCell ref="J74:AJ75"/>
    <mergeCell ref="J76:AJ77"/>
    <mergeCell ref="J78:AJ79"/>
    <mergeCell ref="N93:O94"/>
    <mergeCell ref="AE93:AE94"/>
    <mergeCell ref="X93:Y94"/>
    <mergeCell ref="AG93:AG94"/>
    <mergeCell ref="S93:T94"/>
    <mergeCell ref="AB93:AB94"/>
    <mergeCell ref="Z93:Z94"/>
    <mergeCell ref="V93:W94"/>
    <mergeCell ref="AA93:AA94"/>
    <mergeCell ref="D102:AJ102"/>
    <mergeCell ref="AI93:AI94"/>
    <mergeCell ref="AJ93:AJ94"/>
    <mergeCell ref="D97:AJ97"/>
    <mergeCell ref="D99:AJ99"/>
    <mergeCell ref="D100:AJ100"/>
    <mergeCell ref="D101:AJ101"/>
    <mergeCell ref="AC95:AD95"/>
    <mergeCell ref="AH93:AH94"/>
    <mergeCell ref="AF93:AF94"/>
    <mergeCell ref="H93:H94"/>
    <mergeCell ref="I95:M96"/>
    <mergeCell ref="AG38:AJ39"/>
    <mergeCell ref="AG40:AJ47"/>
    <mergeCell ref="AF38:AF39"/>
    <mergeCell ref="B47:AF47"/>
    <mergeCell ref="AG5:AJ6"/>
    <mergeCell ref="E45:F45"/>
    <mergeCell ref="E46:F46"/>
    <mergeCell ref="D6:D7"/>
    <mergeCell ref="E6:E7"/>
    <mergeCell ref="F6:G6"/>
    <mergeCell ref="AA45:AB45"/>
    <mergeCell ref="AC45:AD45"/>
    <mergeCell ref="AC10:AD10"/>
    <mergeCell ref="Y12:Y33"/>
    <mergeCell ref="AC9:AD9"/>
    <mergeCell ref="AA8:AD8"/>
    <mergeCell ref="AE38:AE39"/>
    <mergeCell ref="X46:Y46"/>
    <mergeCell ref="V43:W43"/>
    <mergeCell ref="W12:W33"/>
    <mergeCell ref="S9:T9"/>
    <mergeCell ref="P9:Q9"/>
    <mergeCell ref="S8:T8"/>
    <mergeCell ref="X9:Y9"/>
  </mergeCells>
  <dataValidations count="1">
    <dataValidation type="list" allowBlank="1" showInputMessage="1" showErrorMessage="1" sqref="G52">
      <formula1>OMXNN</formula1>
    </dataValidation>
  </dataValidation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7"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3.xml><?xml version="1.0" encoding="utf-8"?>
<worksheet xmlns="http://schemas.openxmlformats.org/spreadsheetml/2006/main" xmlns:r="http://schemas.openxmlformats.org/officeDocument/2006/relationships">
  <sheetPr>
    <tabColor rgb="FF99CC00"/>
    <pageSetUpPr fitToPage="1"/>
  </sheetPr>
  <dimension ref="A1:W63"/>
  <sheetViews>
    <sheetView zoomScale="75" zoomScaleNormal="75" workbookViewId="0">
      <selection sqref="A1:D1"/>
    </sheetView>
  </sheetViews>
  <sheetFormatPr defaultRowHeight="12.75"/>
  <cols>
    <col min="1" max="1" width="43" style="8" customWidth="1"/>
    <col min="2" max="2" width="18.28515625" style="8" customWidth="1"/>
    <col min="3" max="3" width="15.7109375" style="8" customWidth="1"/>
    <col min="4" max="4" width="11.7109375" style="8" customWidth="1"/>
    <col min="5" max="5" width="12.5703125" style="8" customWidth="1"/>
    <col min="6" max="6" width="10.140625" style="8" customWidth="1"/>
    <col min="7" max="7" width="9.140625" style="8" customWidth="1"/>
    <col min="8" max="8" width="11.5703125" style="8" customWidth="1"/>
    <col min="9" max="9" width="12" style="8" customWidth="1"/>
    <col min="10" max="10" width="13.85546875" style="8" customWidth="1"/>
    <col min="11" max="11" width="13.42578125" style="8" customWidth="1"/>
    <col min="12" max="12" width="12.7109375" style="8" customWidth="1"/>
    <col min="13" max="13" width="15.85546875" style="8" customWidth="1"/>
    <col min="14" max="15" width="12.7109375" style="8" customWidth="1"/>
    <col min="16" max="16" width="13.42578125" style="8" customWidth="1"/>
    <col min="17" max="17" width="11.140625" style="8" customWidth="1"/>
    <col min="18" max="18" width="12.140625" style="8" customWidth="1"/>
    <col min="19" max="19" width="15.5703125" style="8" customWidth="1"/>
    <col min="20" max="20" width="12.28515625" style="8" customWidth="1"/>
    <col min="21" max="21" width="11.28515625" style="8" customWidth="1"/>
    <col min="22" max="22" width="12.28515625" style="8" customWidth="1"/>
    <col min="23" max="23" width="9.42578125" style="8" customWidth="1"/>
    <col min="24" max="16384" width="9.140625" style="8"/>
  </cols>
  <sheetData>
    <row r="1" spans="1:23">
      <c r="A1" s="822" t="s">
        <v>19</v>
      </c>
      <c r="B1" s="822"/>
      <c r="C1" s="822"/>
      <c r="D1" s="822"/>
    </row>
    <row r="2" spans="1:23" ht="18" customHeight="1" thickBot="1">
      <c r="A2" s="690" t="s">
        <v>1674</v>
      </c>
      <c r="B2" s="690"/>
      <c r="C2" s="690"/>
      <c r="D2" s="690"/>
      <c r="E2" s="690"/>
      <c r="F2" s="690"/>
      <c r="G2" s="690"/>
      <c r="H2" s="690"/>
      <c r="I2" s="690"/>
      <c r="J2" s="690"/>
      <c r="K2" s="690"/>
      <c r="L2" s="690"/>
      <c r="M2" s="690"/>
      <c r="N2" s="690"/>
      <c r="O2" s="690"/>
      <c r="P2" s="690"/>
      <c r="Q2" s="690"/>
      <c r="R2" s="690"/>
      <c r="S2" s="690"/>
      <c r="T2" s="76"/>
      <c r="U2" s="79" t="s">
        <v>20</v>
      </c>
      <c r="V2" s="753">
        <v>43922</v>
      </c>
      <c r="W2" s="753"/>
    </row>
    <row r="3" spans="1:23" ht="15" customHeight="1">
      <c r="A3" s="9"/>
      <c r="B3" s="9"/>
      <c r="U3" s="3" t="s">
        <v>21</v>
      </c>
      <c r="V3" s="718">
        <v>43915</v>
      </c>
      <c r="W3" s="718"/>
    </row>
    <row r="4" spans="1:23">
      <c r="A4" s="390" t="s">
        <v>121</v>
      </c>
      <c r="B4" s="391"/>
      <c r="C4" s="391"/>
      <c r="D4" s="391"/>
      <c r="E4" s="391"/>
      <c r="F4" s="391"/>
      <c r="G4" s="391"/>
      <c r="H4" s="391"/>
      <c r="I4" s="391"/>
      <c r="J4" s="391"/>
      <c r="K4" s="391"/>
      <c r="L4" s="391"/>
      <c r="M4" s="391"/>
      <c r="N4" s="391"/>
      <c r="O4" s="391"/>
      <c r="P4" s="391"/>
      <c r="Q4" s="391"/>
      <c r="R4" s="391"/>
      <c r="S4" s="391"/>
      <c r="T4" s="391"/>
      <c r="U4" s="391"/>
      <c r="V4" s="391"/>
      <c r="W4" s="392"/>
    </row>
    <row r="5" spans="1:23" ht="21.75" customHeight="1">
      <c r="A5" s="803" t="s">
        <v>112</v>
      </c>
      <c r="B5" s="803"/>
      <c r="C5" s="803" t="s">
        <v>102</v>
      </c>
      <c r="D5" s="513" t="s">
        <v>14</v>
      </c>
      <c r="E5" s="513"/>
      <c r="F5" s="513"/>
      <c r="G5" s="513"/>
      <c r="H5" s="513"/>
      <c r="I5" s="513"/>
      <c r="J5" s="513"/>
      <c r="K5" s="513"/>
      <c r="L5" s="513"/>
      <c r="M5" s="513"/>
      <c r="N5" s="513"/>
      <c r="O5" s="513"/>
      <c r="P5" s="513"/>
      <c r="Q5" s="513"/>
      <c r="R5" s="513"/>
      <c r="S5" s="513"/>
      <c r="T5" s="513"/>
      <c r="U5" s="513"/>
      <c r="V5" s="513"/>
      <c r="W5" s="513"/>
    </row>
    <row r="6" spans="1:23" ht="43.5" customHeight="1">
      <c r="A6" s="803"/>
      <c r="B6" s="803"/>
      <c r="C6" s="803"/>
      <c r="D6" s="82" t="s">
        <v>1830</v>
      </c>
      <c r="E6" s="82" t="s">
        <v>1522</v>
      </c>
      <c r="F6" s="82" t="s">
        <v>1523</v>
      </c>
      <c r="G6" s="82" t="s">
        <v>1526</v>
      </c>
      <c r="H6" s="82" t="s">
        <v>1829</v>
      </c>
      <c r="I6" s="389" t="s">
        <v>108</v>
      </c>
      <c r="J6" s="82" t="s">
        <v>31</v>
      </c>
      <c r="K6" s="82" t="s">
        <v>845</v>
      </c>
      <c r="L6" s="82" t="s">
        <v>33</v>
      </c>
      <c r="M6" s="82" t="s">
        <v>1831</v>
      </c>
      <c r="N6" s="477" t="s">
        <v>1445</v>
      </c>
      <c r="O6" s="477" t="s">
        <v>1922</v>
      </c>
      <c r="P6" s="477" t="s">
        <v>1832</v>
      </c>
      <c r="Q6" s="82" t="s">
        <v>1446</v>
      </c>
      <c r="R6" s="82" t="s">
        <v>35</v>
      </c>
      <c r="S6" s="477" t="s">
        <v>80</v>
      </c>
      <c r="T6" s="477" t="s">
        <v>1833</v>
      </c>
      <c r="U6" s="477" t="s">
        <v>1476</v>
      </c>
      <c r="V6" s="477" t="s">
        <v>124</v>
      </c>
      <c r="W6" s="477" t="s">
        <v>36</v>
      </c>
    </row>
    <row r="7" spans="1:23">
      <c r="A7" s="823" t="s">
        <v>122</v>
      </c>
      <c r="B7" s="534"/>
      <c r="C7" s="35">
        <v>80</v>
      </c>
      <c r="D7" s="52">
        <f>ROUND(180*Belarus*(1-B60),2)</f>
        <v>180</v>
      </c>
      <c r="E7" s="31">
        <f>ROUND(153*Belarus*(1-B60),2)</f>
        <v>153</v>
      </c>
      <c r="F7" s="31">
        <f>ROUND(159*Belarus*(1-B60),2)</f>
        <v>159</v>
      </c>
      <c r="G7" s="31">
        <f>ROUND(132*Belarus*(1-B60),2)</f>
        <v>132</v>
      </c>
      <c r="H7" s="31">
        <f>ROUND(178*Belarus*(1-B60),2)</f>
        <v>178</v>
      </c>
      <c r="I7" s="32">
        <f>ROUND(177*Belarus*(1-B60),2)</f>
        <v>177</v>
      </c>
      <c r="J7" s="31">
        <f>ROUND(150*Belarus*(1-B60),2)</f>
        <v>150</v>
      </c>
      <c r="K7" s="31">
        <f>ROUND(148*Belarus*(1-B60),2)</f>
        <v>148</v>
      </c>
      <c r="L7" s="31">
        <f>ROUND(140*Belarus*(1-B60),2)</f>
        <v>140</v>
      </c>
      <c r="M7" s="31">
        <f>ROUND(230*Belarus*(1-B60),2)</f>
        <v>230</v>
      </c>
      <c r="N7" s="31">
        <f>ROUND(145*Belarus*(1-B60),2)</f>
        <v>145</v>
      </c>
      <c r="O7" s="31">
        <f>ROUND(144*Belarus*(1-B60),2)</f>
        <v>144</v>
      </c>
      <c r="P7" s="31">
        <f>ROUND(139*Belarus*(1-B60),2)</f>
        <v>139</v>
      </c>
      <c r="Q7" s="31">
        <f>ROUND(122*Belarus*(1-B60),2)</f>
        <v>122</v>
      </c>
      <c r="R7" s="31">
        <f>ROUND(121*Belarus*(1-B60),2)</f>
        <v>121</v>
      </c>
      <c r="S7" s="31">
        <f>ROUND(152*Belarus*(1-B60),2)</f>
        <v>152</v>
      </c>
      <c r="T7" s="31">
        <f>ROUND(121*Belarus*(1-B60),2)</f>
        <v>121</v>
      </c>
      <c r="U7" s="101">
        <f>ROUND(93*Belarus*(1-B60),2)</f>
        <v>93</v>
      </c>
      <c r="V7" s="101">
        <f>ROUND(121*Belarus*(1-B60),2)</f>
        <v>121</v>
      </c>
      <c r="W7" s="31">
        <f>ROUND(121*Belarus*(1-B60),2)</f>
        <v>121</v>
      </c>
    </row>
    <row r="8" spans="1:23">
      <c r="A8" s="512" t="s">
        <v>123</v>
      </c>
      <c r="B8" s="512"/>
      <c r="C8" s="478">
        <v>89</v>
      </c>
      <c r="D8" s="52">
        <f>ROUND(192*Belarus*(1-B60),2)</f>
        <v>192</v>
      </c>
      <c r="E8" s="31">
        <f>ROUND(163*Belarus*(1-B60),2)</f>
        <v>163</v>
      </c>
      <c r="F8" s="31">
        <f>ROUND(169*Belarus*(1-B60),2)</f>
        <v>169</v>
      </c>
      <c r="G8" s="31">
        <f>ROUND(141*Belarus*(1-B60),2)</f>
        <v>141</v>
      </c>
      <c r="H8" s="31">
        <f>ROUND(190*Belarus*(1-B60),2)</f>
        <v>190</v>
      </c>
      <c r="I8" s="32">
        <f>ROUND(188*Belarus*(1-B60),2)</f>
        <v>188</v>
      </c>
      <c r="J8" s="31">
        <f>ROUND(160*Belarus*(1-B60),2)</f>
        <v>160</v>
      </c>
      <c r="K8" s="31">
        <f>ROUND(157*Belarus*(1-B60),2)</f>
        <v>157</v>
      </c>
      <c r="L8" s="31">
        <f>ROUND(149*Belarus*(1-B60),2)</f>
        <v>149</v>
      </c>
      <c r="M8" s="31">
        <f>ROUND(245*Belarus*(1-B60),2)</f>
        <v>245</v>
      </c>
      <c r="N8" s="31">
        <f>ROUND(154*Belarus*(1-B60),2)</f>
        <v>154</v>
      </c>
      <c r="O8" s="31">
        <f>ROUND(153*Belarus*(1-B60),2)</f>
        <v>153</v>
      </c>
      <c r="P8" s="31">
        <f>ROUND(147*Belarus*(1-B60),2)</f>
        <v>147</v>
      </c>
      <c r="Q8" s="31">
        <f>ROUND(129*Belarus*(1-B60),2)</f>
        <v>129</v>
      </c>
      <c r="R8" s="31">
        <f>ROUND(128*Belarus*(1-B60),2)</f>
        <v>128</v>
      </c>
      <c r="S8" s="31">
        <f>ROUND(161*Belarus*(1-B60),2)</f>
        <v>161</v>
      </c>
      <c r="T8" s="31">
        <f>ROUND(128*Belarus*(1-B60),2)</f>
        <v>128</v>
      </c>
      <c r="U8" s="101">
        <f>ROUND(99*Belarus*(1-B60),2)</f>
        <v>99</v>
      </c>
      <c r="V8" s="101">
        <f>ROUND(128*Belarus*(1-B60),2)</f>
        <v>128</v>
      </c>
      <c r="W8" s="31">
        <f>ROUND(128*Belarus*(1-B60),2)</f>
        <v>128</v>
      </c>
    </row>
    <row r="9" spans="1:23">
      <c r="A9" s="512" t="s">
        <v>133</v>
      </c>
      <c r="B9" s="512"/>
      <c r="C9" s="478">
        <v>83</v>
      </c>
      <c r="D9" s="52" t="s">
        <v>51</v>
      </c>
      <c r="E9" s="31">
        <f>ROUND(153*Belarus*(1-B60),2)</f>
        <v>153</v>
      </c>
      <c r="F9" s="31">
        <f>ROUND(159*Belarus*(1-B60),2)</f>
        <v>159</v>
      </c>
      <c r="G9" s="31">
        <f>ROUND(132*Belarus*(1-B60),2)</f>
        <v>132</v>
      </c>
      <c r="H9" s="31">
        <f>ROUND(178*Belarus*(1-B60),2)</f>
        <v>178</v>
      </c>
      <c r="I9" s="32">
        <f>ROUND(177*Belarus*(1-B60),2)</f>
        <v>177</v>
      </c>
      <c r="J9" s="31">
        <f>ROUND(150*Belarus*(1-B60),2)</f>
        <v>150</v>
      </c>
      <c r="K9" s="31">
        <f>ROUND(148*Belarus*(1-B60),2)</f>
        <v>148</v>
      </c>
      <c r="L9" s="31">
        <f>ROUND(140*Belarus*(1-B60),2)</f>
        <v>140</v>
      </c>
      <c r="M9" s="31">
        <f>ROUND(230*Belarus*(1-B60),2)</f>
        <v>230</v>
      </c>
      <c r="N9" s="31">
        <f>ROUND(145*Belarus*(1-B60),2)</f>
        <v>145</v>
      </c>
      <c r="O9" s="31">
        <f>ROUND(144*Belarus*(1-B60),2)</f>
        <v>144</v>
      </c>
      <c r="P9" s="31">
        <f>ROUND(139*Belarus*(1-B60),2)</f>
        <v>139</v>
      </c>
      <c r="Q9" s="31">
        <f>ROUND(122*Belarus*(1-B60),2)</f>
        <v>122</v>
      </c>
      <c r="R9" s="31">
        <f>ROUND(121*Belarus*(1-B60),2)</f>
        <v>121</v>
      </c>
      <c r="S9" s="31">
        <f>ROUND(152*Belarus*(1-B60),2)</f>
        <v>152</v>
      </c>
      <c r="T9" s="31">
        <f>ROUND(121*Belarus*(1-B60),2)</f>
        <v>121</v>
      </c>
      <c r="U9" s="101">
        <f>ROUND(93*Belarus*(1-B60),2)</f>
        <v>93</v>
      </c>
      <c r="V9" s="101">
        <f>ROUND(121*Belarus*(1-B60),2)</f>
        <v>121</v>
      </c>
      <c r="W9" s="31" t="s">
        <v>51</v>
      </c>
    </row>
    <row r="10" spans="1:23">
      <c r="A10" s="824" t="s">
        <v>1834</v>
      </c>
      <c r="B10" s="825"/>
      <c r="C10" s="825"/>
      <c r="D10" s="825"/>
      <c r="E10" s="825"/>
      <c r="F10" s="825"/>
      <c r="G10" s="825"/>
      <c r="H10" s="825"/>
      <c r="I10" s="825"/>
      <c r="J10" s="825"/>
      <c r="K10" s="825"/>
      <c r="L10" s="825"/>
      <c r="M10" s="825"/>
      <c r="N10" s="825"/>
      <c r="O10" s="825"/>
      <c r="P10" s="825"/>
      <c r="Q10" s="825"/>
      <c r="R10" s="825"/>
      <c r="S10" s="825"/>
      <c r="T10" s="825"/>
      <c r="U10" s="825"/>
      <c r="V10" s="825"/>
      <c r="W10" s="825"/>
    </row>
    <row r="11" spans="1:23">
      <c r="A11" s="826"/>
      <c r="B11" s="826"/>
      <c r="C11" s="826"/>
      <c r="D11" s="826"/>
      <c r="E11" s="826"/>
      <c r="F11" s="826"/>
      <c r="G11" s="826"/>
      <c r="H11" s="826"/>
      <c r="I11" s="826"/>
      <c r="J11" s="826"/>
      <c r="K11" s="826"/>
      <c r="L11" s="826"/>
      <c r="M11" s="826"/>
      <c r="N11" s="826"/>
      <c r="O11" s="826"/>
      <c r="P11" s="826"/>
      <c r="Q11" s="826"/>
      <c r="R11" s="826"/>
      <c r="S11" s="826"/>
      <c r="T11" s="826"/>
      <c r="U11" s="826"/>
      <c r="V11" s="826"/>
      <c r="W11" s="826"/>
    </row>
    <row r="12" spans="1:23" s="57" customFormat="1">
      <c r="A12" s="268"/>
      <c r="B12" s="268"/>
      <c r="C12" s="18"/>
      <c r="D12" s="54"/>
      <c r="E12" s="45"/>
      <c r="F12" s="45"/>
      <c r="G12" s="45"/>
      <c r="H12" s="45"/>
      <c r="I12" s="45"/>
      <c r="J12" s="45"/>
      <c r="K12" s="45"/>
      <c r="L12" s="45"/>
      <c r="M12" s="45"/>
      <c r="N12" s="45"/>
      <c r="O12" s="45"/>
      <c r="P12" s="45"/>
      <c r="Q12" s="45"/>
      <c r="R12" s="45"/>
      <c r="S12" s="45"/>
      <c r="T12" s="335"/>
      <c r="U12" s="335"/>
      <c r="V12" s="335"/>
      <c r="W12" s="335"/>
    </row>
    <row r="13" spans="1:23" s="57" customFormat="1">
      <c r="A13" s="268"/>
      <c r="B13" s="268"/>
      <c r="C13" s="18"/>
      <c r="D13" s="54"/>
      <c r="E13" s="45"/>
      <c r="F13" s="45"/>
      <c r="G13" s="45"/>
      <c r="H13" s="45"/>
      <c r="I13" s="45"/>
      <c r="J13" s="45"/>
      <c r="K13" s="45"/>
      <c r="L13" s="45"/>
      <c r="M13" s="45"/>
      <c r="N13" s="45"/>
      <c r="O13" s="45"/>
      <c r="P13" s="45"/>
      <c r="Q13" s="45"/>
      <c r="R13" s="45"/>
      <c r="S13" s="45"/>
      <c r="T13" s="335"/>
      <c r="U13" s="335"/>
      <c r="V13" s="335"/>
      <c r="W13" s="335"/>
    </row>
    <row r="14" spans="1:23">
      <c r="A14" s="390" t="s">
        <v>106</v>
      </c>
      <c r="B14" s="391"/>
      <c r="C14" s="391"/>
      <c r="D14" s="391"/>
      <c r="E14" s="391"/>
      <c r="F14" s="391"/>
      <c r="G14" s="391"/>
      <c r="H14" s="391"/>
      <c r="I14" s="391"/>
      <c r="J14" s="391"/>
      <c r="K14" s="391"/>
      <c r="L14" s="391"/>
      <c r="M14" s="391"/>
      <c r="N14" s="391"/>
      <c r="O14" s="391"/>
      <c r="P14" s="391"/>
      <c r="Q14" s="391"/>
      <c r="R14" s="391"/>
      <c r="S14" s="391"/>
      <c r="T14" s="391"/>
      <c r="U14" s="391"/>
      <c r="V14" s="391"/>
      <c r="W14" s="392"/>
    </row>
    <row r="15" spans="1:23" ht="17.25" customHeight="1">
      <c r="A15" s="803" t="s">
        <v>18</v>
      </c>
      <c r="B15" s="803" t="s">
        <v>107</v>
      </c>
      <c r="C15" s="803"/>
      <c r="D15" s="518" t="s">
        <v>14</v>
      </c>
      <c r="E15" s="520"/>
      <c r="F15" s="520"/>
      <c r="G15" s="520"/>
      <c r="H15" s="520"/>
      <c r="I15" s="520"/>
      <c r="J15" s="520"/>
      <c r="K15" s="520"/>
      <c r="L15" s="520"/>
      <c r="M15" s="520"/>
      <c r="N15" s="520"/>
      <c r="O15" s="520"/>
      <c r="P15" s="520"/>
      <c r="Q15" s="520"/>
      <c r="R15" s="520"/>
      <c r="S15" s="520"/>
      <c r="T15" s="520"/>
      <c r="U15" s="520"/>
      <c r="V15" s="520"/>
      <c r="W15" s="519"/>
    </row>
    <row r="16" spans="1:23" ht="41.25" customHeight="1">
      <c r="A16" s="803"/>
      <c r="B16" s="803"/>
      <c r="C16" s="803"/>
      <c r="D16" s="82" t="s">
        <v>1830</v>
      </c>
      <c r="E16" s="82" t="s">
        <v>1522</v>
      </c>
      <c r="F16" s="82" t="s">
        <v>1523</v>
      </c>
      <c r="G16" s="82" t="s">
        <v>1526</v>
      </c>
      <c r="H16" s="82" t="s">
        <v>1829</v>
      </c>
      <c r="I16" s="389" t="s">
        <v>108</v>
      </c>
      <c r="J16" s="82" t="s">
        <v>31</v>
      </c>
      <c r="K16" s="82" t="s">
        <v>845</v>
      </c>
      <c r="L16" s="82" t="s">
        <v>33</v>
      </c>
      <c r="M16" s="82" t="s">
        <v>1831</v>
      </c>
      <c r="N16" s="477" t="s">
        <v>1445</v>
      </c>
      <c r="O16" s="477" t="s">
        <v>1922</v>
      </c>
      <c r="P16" s="477" t="s">
        <v>1832</v>
      </c>
      <c r="Q16" s="82" t="s">
        <v>1446</v>
      </c>
      <c r="R16" s="82" t="s">
        <v>35</v>
      </c>
      <c r="S16" s="477" t="s">
        <v>80</v>
      </c>
      <c r="T16" s="477" t="s">
        <v>1833</v>
      </c>
      <c r="U16" s="389" t="s">
        <v>1477</v>
      </c>
      <c r="V16" s="82" t="s">
        <v>124</v>
      </c>
      <c r="W16" s="477" t="s">
        <v>36</v>
      </c>
    </row>
    <row r="17" spans="1:23" ht="25.5">
      <c r="A17" s="66" t="s">
        <v>125</v>
      </c>
      <c r="B17" s="827">
        <v>100</v>
      </c>
      <c r="C17" s="827"/>
      <c r="D17" s="31">
        <f>ROUND(B17*(IF(B17&lt;625,2787,2787*1.15)/1000)*Belarus*(1-B61),2)</f>
        <v>278.7</v>
      </c>
      <c r="E17" s="31">
        <f>ROUND(B17*(IF(B17&lt;625,2200,2200*1.15)/1000)*Belarus*(1-B61),2)</f>
        <v>220</v>
      </c>
      <c r="F17" s="31">
        <f>ROUND(B17*(IF(B17&lt;625,2139,2139*1.15)/1000)*Belarus*(1-B61),2)</f>
        <v>213.9</v>
      </c>
      <c r="G17" s="31">
        <f>ROUND(B17*(IF(B17&lt;625,1855,1855*1.15)/1000)*Belarus*(1-B61),2)</f>
        <v>185.5</v>
      </c>
      <c r="H17" s="31">
        <f>ROUND(B17*(IF(B17&lt;625,2597,2597*1.15)/1000)*Belarus*(1-B61),2)</f>
        <v>259.7</v>
      </c>
      <c r="I17" s="32">
        <f>ROUND(B17*(IF(B17&lt;625,2452,2452*1.15)/1000)*Belarus*(1-B61),2)</f>
        <v>245.2</v>
      </c>
      <c r="J17" s="31">
        <f>ROUND(B17*(IF(B17&lt;625,2096,2096*1.15)/1000)*Belarus*(1-B61),2)</f>
        <v>209.6</v>
      </c>
      <c r="K17" s="31">
        <f>ROUND(B17*(IF(B17&lt;625,1952,1952*1.15)/1000)*Belarus*(1-B61),2)</f>
        <v>195.2</v>
      </c>
      <c r="L17" s="31">
        <f>ROUND(B17*(IF(B17&lt;625,1945,1945*1.15)/1000)*Belarus*(1-B61),2)</f>
        <v>194.5</v>
      </c>
      <c r="M17" s="31">
        <f>ROUND(B17*(IF(B17&lt;625,3018,3018*1.15)/1000)*Belarus*(1-B61),2)</f>
        <v>301.8</v>
      </c>
      <c r="N17" s="31">
        <f>ROUND(B17*(IF(B17&lt;625,1947,1947*1.15)/1000)*Belarus*(1-B61),2)</f>
        <v>194.7</v>
      </c>
      <c r="O17" s="31">
        <f>ROUND(B17*(IF(B17&lt;625,1921,1921*1.15)/1000)*Belarus*(1-B61),2)</f>
        <v>192.1</v>
      </c>
      <c r="P17" s="31">
        <f>ROUND(B17*(IF(B17&lt;625,1924,1924*1.15)/1000)*Belarus*(1-B61),2)</f>
        <v>192.4</v>
      </c>
      <c r="Q17" s="31">
        <f>ROUND(B17*(IF(B17&lt;625,1911,1911*1.15)/1000)*Belarus*(1-B61),2)</f>
        <v>191.1</v>
      </c>
      <c r="R17" s="31">
        <f>ROUND(B17*(IF(B17&lt;625,1907,1907*1.15)/1000)*Belarus*(1-B61),2)</f>
        <v>190.7</v>
      </c>
      <c r="S17" s="100">
        <f>ROUND(B17*(IF(B17&lt;625,2199,2199*1.15)/1000)*Belarus*(1-B61),2)</f>
        <v>219.9</v>
      </c>
      <c r="T17" s="100">
        <f>ROUND(B17*(IF(B17&lt;625,1898,1898*1.15)/1000)*Belarus*(1-B61),2)</f>
        <v>189.8</v>
      </c>
      <c r="U17" s="32">
        <f>ROUND(B17*(IF(B17&lt;625,1507,1507*1.15)/1000)*Belarus*(1-B61),2)</f>
        <v>150.69999999999999</v>
      </c>
      <c r="V17" s="31">
        <f>ROUND(B17*(IF(B17&lt;625,2167,2167*1.15)/1000)*Belarus*(1-B61),2)</f>
        <v>216.7</v>
      </c>
      <c r="W17" s="31">
        <f>ROUND(B17*(IF(B17&lt;625,1892,1892*1.15)/1000)*Belarus*(1-B61),2)</f>
        <v>189.2</v>
      </c>
    </row>
    <row r="18" spans="1:23" s="57" customFormat="1">
      <c r="A18" s="42"/>
      <c r="B18" s="18"/>
      <c r="C18" s="18"/>
      <c r="D18" s="45"/>
      <c r="E18" s="45"/>
      <c r="F18" s="45"/>
      <c r="G18" s="45"/>
      <c r="H18" s="45"/>
      <c r="I18" s="45"/>
      <c r="J18" s="45"/>
      <c r="K18" s="45"/>
      <c r="L18" s="45"/>
      <c r="M18" s="45"/>
      <c r="N18" s="45"/>
      <c r="O18" s="45"/>
      <c r="P18" s="45"/>
      <c r="Q18" s="45"/>
      <c r="R18" s="45"/>
      <c r="S18" s="45"/>
      <c r="T18" s="45"/>
      <c r="U18" s="45"/>
      <c r="V18" s="45"/>
      <c r="W18" s="45"/>
    </row>
    <row r="19" spans="1:23" s="57" customFormat="1">
      <c r="A19" s="42"/>
      <c r="B19" s="18"/>
      <c r="C19" s="18"/>
      <c r="D19" s="45"/>
      <c r="E19" s="45"/>
      <c r="F19" s="45"/>
      <c r="G19" s="45"/>
      <c r="H19" s="45"/>
      <c r="I19" s="45"/>
      <c r="J19" s="45"/>
      <c r="K19" s="45"/>
      <c r="L19" s="45"/>
      <c r="M19" s="45"/>
      <c r="N19" s="45"/>
      <c r="O19" s="45"/>
      <c r="P19" s="45"/>
      <c r="Q19" s="45"/>
      <c r="R19" s="45"/>
      <c r="S19" s="45"/>
      <c r="T19" s="45"/>
      <c r="U19" s="45"/>
      <c r="V19" s="45"/>
      <c r="W19" s="45"/>
    </row>
    <row r="20" spans="1:23">
      <c r="A20" s="390" t="s">
        <v>0</v>
      </c>
      <c r="B20" s="391"/>
      <c r="C20" s="391"/>
      <c r="D20" s="391"/>
      <c r="E20" s="391"/>
      <c r="F20" s="391"/>
      <c r="G20" s="391"/>
      <c r="H20" s="391"/>
      <c r="I20" s="391"/>
      <c r="J20" s="391"/>
      <c r="K20" s="391"/>
      <c r="L20" s="391"/>
      <c r="M20" s="391"/>
      <c r="N20" s="391"/>
      <c r="O20" s="391"/>
      <c r="P20" s="391"/>
      <c r="Q20" s="391"/>
      <c r="R20" s="391"/>
      <c r="S20" s="391"/>
      <c r="T20" s="391"/>
      <c r="U20" s="391"/>
      <c r="V20" s="391"/>
      <c r="W20" s="392"/>
    </row>
    <row r="21" spans="1:23" ht="17.25" customHeight="1">
      <c r="A21" s="803" t="s">
        <v>18</v>
      </c>
      <c r="B21" s="803" t="s">
        <v>126</v>
      </c>
      <c r="C21" s="803" t="s">
        <v>107</v>
      </c>
      <c r="D21" s="513" t="s">
        <v>127</v>
      </c>
      <c r="E21" s="513"/>
      <c r="F21" s="513"/>
      <c r="G21" s="513"/>
      <c r="H21" s="513"/>
      <c r="I21" s="513"/>
      <c r="J21" s="513"/>
      <c r="K21" s="513"/>
      <c r="L21" s="513"/>
      <c r="M21" s="513"/>
      <c r="N21" s="513"/>
      <c r="O21" s="513"/>
      <c r="P21" s="513"/>
      <c r="Q21" s="513"/>
      <c r="R21" s="513"/>
      <c r="S21" s="513"/>
      <c r="T21" s="513"/>
      <c r="U21" s="513"/>
      <c r="V21" s="513"/>
      <c r="W21" s="513"/>
    </row>
    <row r="22" spans="1:23" ht="43.5" customHeight="1">
      <c r="A22" s="803"/>
      <c r="B22" s="803"/>
      <c r="C22" s="803"/>
      <c r="D22" s="82" t="s">
        <v>1830</v>
      </c>
      <c r="E22" s="82" t="s">
        <v>1522</v>
      </c>
      <c r="F22" s="82" t="s">
        <v>1523</v>
      </c>
      <c r="G22" s="82" t="s">
        <v>1526</v>
      </c>
      <c r="H22" s="82" t="s">
        <v>1829</v>
      </c>
      <c r="I22" s="389" t="s">
        <v>108</v>
      </c>
      <c r="J22" s="82" t="s">
        <v>31</v>
      </c>
      <c r="K22" s="82" t="s">
        <v>845</v>
      </c>
      <c r="L22" s="82" t="s">
        <v>33</v>
      </c>
      <c r="M22" s="82" t="s">
        <v>1831</v>
      </c>
      <c r="N22" s="477" t="s">
        <v>1445</v>
      </c>
      <c r="O22" s="477" t="s">
        <v>1922</v>
      </c>
      <c r="P22" s="476" t="s">
        <v>1828</v>
      </c>
      <c r="Q22" s="82" t="s">
        <v>1446</v>
      </c>
      <c r="R22" s="82" t="s">
        <v>35</v>
      </c>
      <c r="S22" s="388" t="s">
        <v>109</v>
      </c>
      <c r="T22" s="477" t="s">
        <v>1833</v>
      </c>
      <c r="U22" s="389" t="s">
        <v>1477</v>
      </c>
      <c r="V22" s="389" t="s">
        <v>124</v>
      </c>
      <c r="W22" s="477" t="s">
        <v>36</v>
      </c>
    </row>
    <row r="23" spans="1:23" ht="14.25" customHeight="1">
      <c r="A23" s="828" t="s">
        <v>71</v>
      </c>
      <c r="B23" s="35">
        <v>100</v>
      </c>
      <c r="C23" s="35">
        <v>230</v>
      </c>
      <c r="D23" s="31" t="s">
        <v>51</v>
      </c>
      <c r="E23" s="31">
        <f>ROUND(421*Belarus*(1-B60),2)</f>
        <v>421</v>
      </c>
      <c r="F23" s="31">
        <f>ROUND(440*Belarus*(1-B60),2)</f>
        <v>440</v>
      </c>
      <c r="G23" s="31">
        <f>ROUND(359*Belarus*(1-B60),2)</f>
        <v>359</v>
      </c>
      <c r="H23" s="31">
        <f>ROUND(496*Belarus*(1-B60),2)</f>
        <v>496</v>
      </c>
      <c r="I23" s="32">
        <f>ROUND(493*Belarus*(1-B60),2)</f>
        <v>493</v>
      </c>
      <c r="J23" s="31">
        <f>ROUND(412*Belarus*(1-B60),2)</f>
        <v>412</v>
      </c>
      <c r="K23" s="31">
        <f>ROUND(405*Belarus*(1-B60),2)</f>
        <v>405</v>
      </c>
      <c r="L23" s="31">
        <f>ROUND(383*Belarus*(1-B60),2)</f>
        <v>383</v>
      </c>
      <c r="M23" s="31">
        <f>ROUND(651*Belarus*(1-B60),2)</f>
        <v>651</v>
      </c>
      <c r="N23" s="31">
        <f>ROUND(398*Belarus*(1-B60),2)</f>
        <v>398</v>
      </c>
      <c r="O23" s="31">
        <f>ROUND(392*Belarus*(1-B60),2)</f>
        <v>392</v>
      </c>
      <c r="P23" s="31">
        <f>ROUND(378*Belarus*(1-B60),2)</f>
        <v>378</v>
      </c>
      <c r="Q23" s="31">
        <f>ROUND(327*Belarus*(1-B60),2)</f>
        <v>327</v>
      </c>
      <c r="R23" s="31">
        <f>ROUND(324*Belarus*(1-B60),2)</f>
        <v>324</v>
      </c>
      <c r="S23" s="32">
        <f>ROUND(417*Belarus*(1-B60),2)</f>
        <v>417</v>
      </c>
      <c r="T23" s="31">
        <f>ROUND(323*Belarus*(1-B60),2)</f>
        <v>323</v>
      </c>
      <c r="U23" s="32">
        <f>ROUND(242*Belarus*(1-B60),2)</f>
        <v>242</v>
      </c>
      <c r="V23" s="31">
        <f>ROUND(323*Belarus*(1-B60),2)</f>
        <v>323</v>
      </c>
      <c r="W23" s="243" t="s">
        <v>51</v>
      </c>
    </row>
    <row r="24" spans="1:23" ht="14.25" customHeight="1">
      <c r="A24" s="829"/>
      <c r="B24" s="35">
        <v>125</v>
      </c>
      <c r="C24" s="35">
        <v>257</v>
      </c>
      <c r="D24" s="31" t="s">
        <v>51</v>
      </c>
      <c r="E24" s="31">
        <f>ROUND(521*Belarus*(1-B60),2)</f>
        <v>521</v>
      </c>
      <c r="F24" s="31">
        <f>ROUND(545*Belarus*(1-B60),2)</f>
        <v>545</v>
      </c>
      <c r="G24" s="31">
        <f>ROUND(444*Belarus*(1-B60),2)</f>
        <v>444</v>
      </c>
      <c r="H24" s="31">
        <f>ROUND(615*Belarus*(1-B60),2)</f>
        <v>615</v>
      </c>
      <c r="I24" s="32">
        <f>ROUND(611*Belarus*(1-B60),2)</f>
        <v>611</v>
      </c>
      <c r="J24" s="31">
        <f>ROUND(511*Belarus*(1-B60),2)</f>
        <v>511</v>
      </c>
      <c r="K24" s="31">
        <f>ROUND(502*Belarus*(1-B60),2)</f>
        <v>502</v>
      </c>
      <c r="L24" s="31">
        <f>ROUND(474*Belarus*(1-B60),2)</f>
        <v>474</v>
      </c>
      <c r="M24" s="31">
        <f>ROUND(809*Belarus*(1-B60),2)</f>
        <v>809</v>
      </c>
      <c r="N24" s="31">
        <f>ROUND(492*Belarus*(1-B60),2)</f>
        <v>492</v>
      </c>
      <c r="O24" s="31">
        <f>ROUND(486*Belarus*(1-B60),2)</f>
        <v>486</v>
      </c>
      <c r="P24" s="31">
        <f>ROUND(467*Belarus*(1-B60),2)</f>
        <v>467</v>
      </c>
      <c r="Q24" s="31">
        <f>ROUND(404*Belarus*(1-B60),2)</f>
        <v>404</v>
      </c>
      <c r="R24" s="31">
        <f>ROUND(401*Belarus*(1-B60),2)</f>
        <v>401</v>
      </c>
      <c r="S24" s="32">
        <f>ROUND(517*Belarus*(1-B60),2)</f>
        <v>517</v>
      </c>
      <c r="T24" s="31">
        <f>ROUND(399*Belarus*(1-B60),2)</f>
        <v>399</v>
      </c>
      <c r="U24" s="32">
        <f>ROUND(297*Belarus*(1-B60),2)</f>
        <v>297</v>
      </c>
      <c r="V24" s="31">
        <f>ROUND(399*Belarus*(1-B60),2)</f>
        <v>399</v>
      </c>
      <c r="W24" s="243" t="s">
        <v>51</v>
      </c>
    </row>
    <row r="25" spans="1:23" ht="15" customHeight="1">
      <c r="A25" s="829"/>
      <c r="B25" s="35">
        <v>150</v>
      </c>
      <c r="C25" s="35">
        <v>280</v>
      </c>
      <c r="D25" s="31" t="s">
        <v>51</v>
      </c>
      <c r="E25" s="31">
        <f>ROUND(521*Belarus*(1-B60),2)</f>
        <v>521</v>
      </c>
      <c r="F25" s="31">
        <f>ROUND(545*Belarus*(1-B60),2)</f>
        <v>545</v>
      </c>
      <c r="G25" s="31">
        <f>ROUND(444*Belarus*(1-B60),2)</f>
        <v>444</v>
      </c>
      <c r="H25" s="31">
        <f>ROUND(615*Belarus*(1-B60),2)</f>
        <v>615</v>
      </c>
      <c r="I25" s="32">
        <f>ROUND(611*Belarus*(1-B60),2)</f>
        <v>611</v>
      </c>
      <c r="J25" s="31">
        <f>ROUND(511*Belarus*(1-B60),2)</f>
        <v>511</v>
      </c>
      <c r="K25" s="31">
        <f>ROUND(502*Belarus*(1-B60),2)</f>
        <v>502</v>
      </c>
      <c r="L25" s="31">
        <f>ROUND(474*Belarus*(1-B60),2)</f>
        <v>474</v>
      </c>
      <c r="M25" s="31">
        <f>ROUND(809*Belarus*(1-B60),2)</f>
        <v>809</v>
      </c>
      <c r="N25" s="31">
        <f>ROUND(492*Belarus*(1-B60),2)</f>
        <v>492</v>
      </c>
      <c r="O25" s="31">
        <f>ROUND(486*Belarus*(1-B60),2)</f>
        <v>486</v>
      </c>
      <c r="P25" s="31">
        <f>ROUND(467*Belarus*(1-B60),2)</f>
        <v>467</v>
      </c>
      <c r="Q25" s="31">
        <f>ROUND(404*Belarus*(1-B60),2)</f>
        <v>404</v>
      </c>
      <c r="R25" s="31">
        <f>ROUND(401*Belarus*(1-B60),2)</f>
        <v>401</v>
      </c>
      <c r="S25" s="32">
        <f>ROUND(517*Belarus*(1-B60),2)</f>
        <v>517</v>
      </c>
      <c r="T25" s="31">
        <f>ROUND(399*Belarus*(1-B60),2)</f>
        <v>399</v>
      </c>
      <c r="U25" s="32">
        <f>ROUND(297*Belarus*(1-B60),2)</f>
        <v>297</v>
      </c>
      <c r="V25" s="31">
        <f>ROUND(399*Belarus*(1-B60),2)</f>
        <v>399</v>
      </c>
      <c r="W25" s="243" t="s">
        <v>51</v>
      </c>
    </row>
    <row r="26" spans="1:23" ht="14.25" customHeight="1">
      <c r="A26" s="829"/>
      <c r="B26" s="35">
        <v>200</v>
      </c>
      <c r="C26" s="35">
        <v>330</v>
      </c>
      <c r="D26" s="31" t="s">
        <v>51</v>
      </c>
      <c r="E26" s="31">
        <f>ROUND(689*Belarus*(1-B60),2)</f>
        <v>689</v>
      </c>
      <c r="F26" s="31">
        <f>ROUND(720*Belarus*(1-B60),2)</f>
        <v>720</v>
      </c>
      <c r="G26" s="31">
        <f>ROUND(585*Belarus*(1-B60),2)</f>
        <v>585</v>
      </c>
      <c r="H26" s="31">
        <f>ROUND(814*Belarus*(1-B60),2)</f>
        <v>814</v>
      </c>
      <c r="I26" s="32">
        <f>ROUND(808*Belarus*(1-B60),2)</f>
        <v>808</v>
      </c>
      <c r="J26" s="31">
        <f>ROUND(674*Belarus*(1-B60),2)</f>
        <v>674</v>
      </c>
      <c r="K26" s="31">
        <f>ROUND(663*Belarus*(1-B60),2)</f>
        <v>663</v>
      </c>
      <c r="L26" s="31">
        <f>ROUND(625*Belarus*(1-B60),2)</f>
        <v>625</v>
      </c>
      <c r="M26" s="31">
        <f>ROUND(1072*Belarus*(1-B60),2)</f>
        <v>1072</v>
      </c>
      <c r="N26" s="31">
        <f>ROUND(650*Belarus*(1-B60),2)</f>
        <v>650</v>
      </c>
      <c r="O26" s="31">
        <f>ROUND(641*Belarus*(1-B60),2)</f>
        <v>641</v>
      </c>
      <c r="P26" s="31">
        <f>ROUND(617*Belarus*(1-B60),2)</f>
        <v>617</v>
      </c>
      <c r="Q26" s="31">
        <f>ROUND(533*Belarus*(1-B60),2)</f>
        <v>533</v>
      </c>
      <c r="R26" s="31">
        <f>ROUND(528*Belarus*(1-B60),2)</f>
        <v>528</v>
      </c>
      <c r="S26" s="32">
        <f>ROUND(683*Belarus*(1-B60),2)</f>
        <v>683</v>
      </c>
      <c r="T26" s="31">
        <f>ROUND(526*Belarus*(1-B60),2)</f>
        <v>526</v>
      </c>
      <c r="U26" s="32">
        <f>ROUND(390*Belarus*(1-B60),2)</f>
        <v>390</v>
      </c>
      <c r="V26" s="31">
        <f>ROUND(526*Belarus*(1-B60),2)</f>
        <v>526</v>
      </c>
      <c r="W26" s="243" t="s">
        <v>51</v>
      </c>
    </row>
    <row r="27" spans="1:23" ht="12.75" customHeight="1">
      <c r="A27" s="829"/>
      <c r="B27" s="35">
        <v>250</v>
      </c>
      <c r="C27" s="35">
        <v>380</v>
      </c>
      <c r="D27" s="31" t="s">
        <v>51</v>
      </c>
      <c r="E27" s="31">
        <f>ROUND(689*Belarus*(1-B60),2)</f>
        <v>689</v>
      </c>
      <c r="F27" s="31">
        <f>ROUND(720*Belarus*(1-B60),2)</f>
        <v>720</v>
      </c>
      <c r="G27" s="31">
        <f>ROUND(585*Belarus*(1-B60),2)</f>
        <v>585</v>
      </c>
      <c r="H27" s="31">
        <f>ROUND(814*Belarus*(1-B60),2)</f>
        <v>814</v>
      </c>
      <c r="I27" s="32">
        <f>ROUND(808*Belarus*(1-B60),2)</f>
        <v>808</v>
      </c>
      <c r="J27" s="31">
        <f>ROUND(674*Belarus*(1-B60),2)</f>
        <v>674</v>
      </c>
      <c r="K27" s="31">
        <f>ROUND(663*Belarus*(1-B60),2)</f>
        <v>663</v>
      </c>
      <c r="L27" s="31">
        <f>ROUND(625*Belarus*(1-B60),2)</f>
        <v>625</v>
      </c>
      <c r="M27" s="31">
        <f>ROUND(1072*Belarus*(1-B60),2)</f>
        <v>1072</v>
      </c>
      <c r="N27" s="31">
        <f>ROUND(650*Belarus*(1-B60),2)</f>
        <v>650</v>
      </c>
      <c r="O27" s="31">
        <f>ROUND(641*Belarus*(1-B60),2)</f>
        <v>641</v>
      </c>
      <c r="P27" s="31">
        <f>ROUND(617*Belarus*(1-B60),2)</f>
        <v>617</v>
      </c>
      <c r="Q27" s="31">
        <f>ROUND(533*Belarus*(1-B60),2)</f>
        <v>533</v>
      </c>
      <c r="R27" s="31">
        <f>ROUND(528*Belarus*(1-B60),2)</f>
        <v>528</v>
      </c>
      <c r="S27" s="32">
        <f>ROUND(683*Belarus*(1-B60),2)</f>
        <v>683</v>
      </c>
      <c r="T27" s="31">
        <f>ROUND(526*Belarus*(1-B60),2)</f>
        <v>526</v>
      </c>
      <c r="U27" s="32">
        <f>ROUND(390*Belarus*(1-B60),2)</f>
        <v>390</v>
      </c>
      <c r="V27" s="31">
        <f>ROUND(526*Belarus*(1-B60),2)</f>
        <v>526</v>
      </c>
      <c r="W27" s="243" t="s">
        <v>51</v>
      </c>
    </row>
    <row r="28" spans="1:23" ht="15" customHeight="1">
      <c r="A28" s="829"/>
      <c r="B28" s="35" t="s">
        <v>1835</v>
      </c>
      <c r="C28" s="35">
        <v>520</v>
      </c>
      <c r="D28" s="86" t="s">
        <v>51</v>
      </c>
      <c r="E28" s="86">
        <f>ROUND(1023*Belarus*(1-B60),2)</f>
        <v>1023</v>
      </c>
      <c r="F28" s="86">
        <f>ROUND(1070*Belarus*(1-B60),2)</f>
        <v>1070</v>
      </c>
      <c r="G28" s="86">
        <f>ROUND(868*Belarus*(1-B60),2)</f>
        <v>868</v>
      </c>
      <c r="H28" s="86">
        <f>ROUND(1211*Belarus*(1-B60),2)</f>
        <v>1211</v>
      </c>
      <c r="I28" s="393">
        <f>ROUND(1203*Belarus*(1-B60),2)</f>
        <v>1203</v>
      </c>
      <c r="J28" s="86">
        <f>ROUND(1002*Belarus*(1-B60),2)</f>
        <v>1002</v>
      </c>
      <c r="K28" s="86">
        <f>ROUND(984*Belarus*(1-B60),2)</f>
        <v>984</v>
      </c>
      <c r="L28" s="86">
        <f>ROUND(928*Belarus*(1-B60),2)</f>
        <v>928</v>
      </c>
      <c r="M28" s="86">
        <f>ROUND(1598*Belarus*(1-B60),2)</f>
        <v>1598</v>
      </c>
      <c r="N28" s="86">
        <f>ROUND(966*Belarus*(1-B60),2)</f>
        <v>966</v>
      </c>
      <c r="O28" s="86">
        <f>ROUND(952*Belarus*(1-B60),2)</f>
        <v>952</v>
      </c>
      <c r="P28" s="86">
        <f>ROUND(915*Belarus*(1-B60),2)</f>
        <v>915</v>
      </c>
      <c r="Q28" s="86">
        <f>ROUND(789*Belarus*(1-B60),2)</f>
        <v>789</v>
      </c>
      <c r="R28" s="86">
        <f>ROUND(782*Belarus*(1-B60),2)</f>
        <v>782</v>
      </c>
      <c r="S28" s="393">
        <f>ROUND(1014*Belarus*(1-B60),2)</f>
        <v>1014</v>
      </c>
      <c r="T28" s="86">
        <f>ROUND(779*Belarus*(1-B60),2)</f>
        <v>779</v>
      </c>
      <c r="U28" s="393">
        <f>ROUND(575*Belarus*(1-B60),2)</f>
        <v>575</v>
      </c>
      <c r="V28" s="86">
        <f>ROUND(779*Belarus*(1-B60),2)</f>
        <v>779</v>
      </c>
      <c r="W28" s="394" t="s">
        <v>51</v>
      </c>
    </row>
    <row r="29" spans="1:23" ht="12" customHeight="1">
      <c r="A29" s="830"/>
      <c r="B29" s="73">
        <v>0</v>
      </c>
      <c r="C29" s="395">
        <f>15+20+30+B29+30+20+15</f>
        <v>130</v>
      </c>
      <c r="D29" s="235" t="s">
        <v>1836</v>
      </c>
      <c r="E29" s="310"/>
      <c r="F29" s="310"/>
      <c r="G29" s="310"/>
      <c r="H29" s="310"/>
      <c r="I29" s="310"/>
      <c r="J29" s="396"/>
      <c r="K29" s="310"/>
      <c r="L29" s="310"/>
      <c r="M29" s="310"/>
      <c r="N29" s="310"/>
      <c r="O29" s="310"/>
      <c r="P29" s="310"/>
      <c r="Q29" s="310"/>
      <c r="R29" s="310"/>
      <c r="S29" s="310"/>
      <c r="T29" s="310"/>
      <c r="U29" s="310"/>
      <c r="V29" s="310"/>
      <c r="W29" s="387"/>
    </row>
    <row r="30" spans="1:23" ht="14.25" customHeight="1">
      <c r="A30" s="828" t="s">
        <v>72</v>
      </c>
      <c r="B30" s="35">
        <v>100</v>
      </c>
      <c r="C30" s="35">
        <v>236</v>
      </c>
      <c r="D30" s="38" t="s">
        <v>51</v>
      </c>
      <c r="E30" s="38">
        <f>ROUND(421*Belarus*(1-B60),2)</f>
        <v>421</v>
      </c>
      <c r="F30" s="38">
        <f>ROUND(440*Belarus*(1-B60),2)</f>
        <v>440</v>
      </c>
      <c r="G30" s="38">
        <f>ROUND(359*Belarus*(1-B60),2)</f>
        <v>359</v>
      </c>
      <c r="H30" s="38">
        <f>ROUND(496*Belarus*(1-B60),2)</f>
        <v>496</v>
      </c>
      <c r="I30" s="386">
        <f>ROUND(493*Belarus*(1-B60),2)</f>
        <v>493</v>
      </c>
      <c r="J30" s="38">
        <f>ROUND(412*Belarus*(1-B60),2)</f>
        <v>412</v>
      </c>
      <c r="K30" s="38">
        <f>ROUND(405*Belarus*(1-B60),2)</f>
        <v>405</v>
      </c>
      <c r="L30" s="38">
        <f>ROUND(383*Belarus*(1-B60),2)</f>
        <v>383</v>
      </c>
      <c r="M30" s="38">
        <f>ROUND(651*Belarus*(1-B60),2)</f>
        <v>651</v>
      </c>
      <c r="N30" s="38">
        <f>ROUND(398*Belarus*(1-B60),2)</f>
        <v>398</v>
      </c>
      <c r="O30" s="38">
        <f>ROUND(392*Belarus*(1-B60),2)</f>
        <v>392</v>
      </c>
      <c r="P30" s="38">
        <f>ROUND(378*Belarus*(1-B60),2)</f>
        <v>378</v>
      </c>
      <c r="Q30" s="38">
        <f>ROUND(327*Belarus*(1-B60),2)</f>
        <v>327</v>
      </c>
      <c r="R30" s="38">
        <f>ROUND(324*Belarus*(1-B60),2)</f>
        <v>324</v>
      </c>
      <c r="S30" s="386">
        <f>ROUND(417*Belarus*(1-B60),2)</f>
        <v>417</v>
      </c>
      <c r="T30" s="38">
        <f>ROUND(323*Belarus*(1-B60),2)</f>
        <v>323</v>
      </c>
      <c r="U30" s="386">
        <f>ROUND(242*Belarus*(1-B60),2)</f>
        <v>242</v>
      </c>
      <c r="V30" s="38">
        <f>ROUND(323*Belarus*(1-B60),2)</f>
        <v>323</v>
      </c>
      <c r="W30" s="309" t="s">
        <v>51</v>
      </c>
    </row>
    <row r="31" spans="1:23" ht="14.25" customHeight="1">
      <c r="A31" s="829"/>
      <c r="B31" s="35">
        <v>125</v>
      </c>
      <c r="C31" s="35">
        <v>264</v>
      </c>
      <c r="D31" s="31" t="s">
        <v>51</v>
      </c>
      <c r="E31" s="31">
        <f>ROUND(521*Belarus*(1-B60),2)</f>
        <v>521</v>
      </c>
      <c r="F31" s="31">
        <f>ROUND(545*Belarus*(1-B60),2)</f>
        <v>545</v>
      </c>
      <c r="G31" s="31">
        <f>ROUND(444*Belarus*(1-B60),2)</f>
        <v>444</v>
      </c>
      <c r="H31" s="31">
        <f>ROUND(615*Belarus*(1-B60),2)</f>
        <v>615</v>
      </c>
      <c r="I31" s="32">
        <f>ROUND(611*Belarus*(1-B60),2)</f>
        <v>611</v>
      </c>
      <c r="J31" s="31">
        <f>ROUND(511*Belarus*(1-B60),2)</f>
        <v>511</v>
      </c>
      <c r="K31" s="31">
        <f>ROUND(502*Belarus*(1-B60),2)</f>
        <v>502</v>
      </c>
      <c r="L31" s="31">
        <f>ROUND(474*Belarus*(1-B60),2)</f>
        <v>474</v>
      </c>
      <c r="M31" s="31">
        <f>ROUND(809*Belarus*(1-B60),2)</f>
        <v>809</v>
      </c>
      <c r="N31" s="31">
        <f>ROUND(492*Belarus*(1-B60),2)</f>
        <v>492</v>
      </c>
      <c r="O31" s="31">
        <f>ROUND(486*Belarus*(1-B60),2)</f>
        <v>486</v>
      </c>
      <c r="P31" s="31">
        <f>ROUND(467*Belarus*(1-B60),2)</f>
        <v>467</v>
      </c>
      <c r="Q31" s="31">
        <f>ROUND(404*Belarus*(1-B60),2)</f>
        <v>404</v>
      </c>
      <c r="R31" s="31">
        <f>ROUND(401*Belarus*(1-B60),2)</f>
        <v>401</v>
      </c>
      <c r="S31" s="32">
        <f>ROUND(517*Belarus*(1-B60),2)</f>
        <v>517</v>
      </c>
      <c r="T31" s="31">
        <f>ROUND(399*Belarus*(1-B60),2)</f>
        <v>399</v>
      </c>
      <c r="U31" s="32">
        <f>ROUND(297*Belarus*(1-B60),2)</f>
        <v>297</v>
      </c>
      <c r="V31" s="31">
        <f>ROUND(399*Belarus*(1-B60),2)</f>
        <v>399</v>
      </c>
      <c r="W31" s="243" t="s">
        <v>51</v>
      </c>
    </row>
    <row r="32" spans="1:23" ht="15" customHeight="1">
      <c r="A32" s="829"/>
      <c r="B32" s="35">
        <v>150</v>
      </c>
      <c r="C32" s="35">
        <v>290</v>
      </c>
      <c r="D32" s="31" t="s">
        <v>51</v>
      </c>
      <c r="E32" s="31">
        <f>ROUND(521*Belarus*(1-B60),2)</f>
        <v>521</v>
      </c>
      <c r="F32" s="31">
        <f>ROUND(545*Belarus*(1-B60),2)</f>
        <v>545</v>
      </c>
      <c r="G32" s="31">
        <f>ROUND(444*Belarus*(1-B60),2)</f>
        <v>444</v>
      </c>
      <c r="H32" s="31">
        <f>ROUND(615*Belarus*(1-B60),2)</f>
        <v>615</v>
      </c>
      <c r="I32" s="32">
        <f>ROUND(611*Belarus*(1-B60),2)</f>
        <v>611</v>
      </c>
      <c r="J32" s="31">
        <f>ROUND(511*Belarus*(1-B60),2)</f>
        <v>511</v>
      </c>
      <c r="K32" s="31">
        <f>ROUND(502*Belarus*(1-B60),2)</f>
        <v>502</v>
      </c>
      <c r="L32" s="31">
        <f>ROUND(474*Belarus*(1-B60),2)</f>
        <v>474</v>
      </c>
      <c r="M32" s="31">
        <f>ROUND(809*Belarus*(1-B60),2)</f>
        <v>809</v>
      </c>
      <c r="N32" s="31">
        <f>ROUND(492*Belarus*(1-B60),2)</f>
        <v>492</v>
      </c>
      <c r="O32" s="31">
        <f>ROUND(486*Belarus*(1-B60),2)</f>
        <v>486</v>
      </c>
      <c r="P32" s="31">
        <f>ROUND(467*Belarus*(1-B60),2)</f>
        <v>467</v>
      </c>
      <c r="Q32" s="31">
        <f>ROUND(404*Belarus*(1-B60),2)</f>
        <v>404</v>
      </c>
      <c r="R32" s="31">
        <f>ROUND(401*Belarus*(1-B60),2)</f>
        <v>401</v>
      </c>
      <c r="S32" s="32">
        <f>ROUND(517*Belarus*(1-B60),2)</f>
        <v>517</v>
      </c>
      <c r="T32" s="31">
        <f>ROUND(399*Belarus*(1-B60),2)</f>
        <v>399</v>
      </c>
      <c r="U32" s="32">
        <f>ROUND(297*Belarus*(1-B60),2)</f>
        <v>297</v>
      </c>
      <c r="V32" s="31">
        <f>ROUND(399*Belarus*(1-B60),2)</f>
        <v>399</v>
      </c>
      <c r="W32" s="243" t="s">
        <v>51</v>
      </c>
    </row>
    <row r="33" spans="1:23" ht="14.25" customHeight="1">
      <c r="A33" s="829"/>
      <c r="B33" s="35">
        <v>200</v>
      </c>
      <c r="C33" s="35">
        <v>343</v>
      </c>
      <c r="D33" s="31" t="s">
        <v>51</v>
      </c>
      <c r="E33" s="31">
        <f>ROUND(689*Belarus*(1-B60),2)</f>
        <v>689</v>
      </c>
      <c r="F33" s="31">
        <f>ROUND(720*Belarus*(1-B60),2)</f>
        <v>720</v>
      </c>
      <c r="G33" s="31">
        <f>ROUND(585*Belarus*(1-B60),2)</f>
        <v>585</v>
      </c>
      <c r="H33" s="31">
        <f>ROUND(814*Belarus*(1-B60),2)</f>
        <v>814</v>
      </c>
      <c r="I33" s="32">
        <f>ROUND(808*Belarus*(1-B60),2)</f>
        <v>808</v>
      </c>
      <c r="J33" s="31">
        <f>ROUND(674*Belarus*(1-B60),2)</f>
        <v>674</v>
      </c>
      <c r="K33" s="31">
        <f>ROUND(663*Belarus*(1-B60),2)</f>
        <v>663</v>
      </c>
      <c r="L33" s="31">
        <f>ROUND(625*Belarus*(1-B60),2)</f>
        <v>625</v>
      </c>
      <c r="M33" s="31">
        <f>ROUND(1072*Belarus*(1-B60),2)</f>
        <v>1072</v>
      </c>
      <c r="N33" s="31">
        <f>ROUND(650*Belarus*(1-B60),2)</f>
        <v>650</v>
      </c>
      <c r="O33" s="31">
        <f>ROUND(641*Belarus*(1-B60),2)</f>
        <v>641</v>
      </c>
      <c r="P33" s="31">
        <f>ROUND(617*Belarus*(1-B60),2)</f>
        <v>617</v>
      </c>
      <c r="Q33" s="31">
        <f>ROUND(533*Belarus*(1-B60),2)</f>
        <v>533</v>
      </c>
      <c r="R33" s="31">
        <f>ROUND(528*Belarus*(1-B60),2)</f>
        <v>528</v>
      </c>
      <c r="S33" s="32">
        <f>ROUND(683*Belarus*(1-B60),2)</f>
        <v>683</v>
      </c>
      <c r="T33" s="31">
        <f>ROUND(526*Belarus*(1-B60),2)</f>
        <v>526</v>
      </c>
      <c r="U33" s="32">
        <f>ROUND(390*Belarus*(1-B60),2)</f>
        <v>390</v>
      </c>
      <c r="V33" s="31">
        <f>ROUND(526*Belarus*(1-B60),2)</f>
        <v>526</v>
      </c>
      <c r="W33" s="243" t="s">
        <v>51</v>
      </c>
    </row>
    <row r="34" spans="1:23" ht="14.25" customHeight="1">
      <c r="A34" s="829"/>
      <c r="B34" s="35">
        <v>250</v>
      </c>
      <c r="C34" s="35">
        <v>396</v>
      </c>
      <c r="D34" s="31" t="s">
        <v>51</v>
      </c>
      <c r="E34" s="31">
        <f>ROUND(689*Belarus*(1-B60),2)</f>
        <v>689</v>
      </c>
      <c r="F34" s="31">
        <f>ROUND(720*Belarus*(1-B60),2)</f>
        <v>720</v>
      </c>
      <c r="G34" s="31">
        <f>ROUND(585*Belarus*(1-B60),2)</f>
        <v>585</v>
      </c>
      <c r="H34" s="31">
        <f>ROUND(814*Belarus*(1-B60),2)</f>
        <v>814</v>
      </c>
      <c r="I34" s="32">
        <f>ROUND(808*Belarus*(1-B60),2)</f>
        <v>808</v>
      </c>
      <c r="J34" s="31">
        <f>ROUND(674*Belarus*(1-B60),2)</f>
        <v>674</v>
      </c>
      <c r="K34" s="31">
        <f>ROUND(663*Belarus*(1-B60),2)</f>
        <v>663</v>
      </c>
      <c r="L34" s="31">
        <f>ROUND(625*Belarus*(1-B60),2)</f>
        <v>625</v>
      </c>
      <c r="M34" s="31">
        <f>ROUND(1072*Belarus*(1-B60),2)</f>
        <v>1072</v>
      </c>
      <c r="N34" s="31">
        <f>ROUND(650*Belarus*(1-B60),2)</f>
        <v>650</v>
      </c>
      <c r="O34" s="31">
        <f>ROUND(641*Belarus*(1-B60),2)</f>
        <v>641</v>
      </c>
      <c r="P34" s="31">
        <f>ROUND(617*Belarus*(1-B60),2)</f>
        <v>617</v>
      </c>
      <c r="Q34" s="31">
        <f>ROUND(533*Belarus*(1-B60),2)</f>
        <v>533</v>
      </c>
      <c r="R34" s="31">
        <f>ROUND(528*Belarus*(1-B60),2)</f>
        <v>528</v>
      </c>
      <c r="S34" s="32">
        <f>ROUND(683*Belarus*(1-B60),2)</f>
        <v>683</v>
      </c>
      <c r="T34" s="31">
        <f>ROUND(526*Belarus*(1-B60),2)</f>
        <v>526</v>
      </c>
      <c r="U34" s="32">
        <f>ROUND(390*Belarus*(1-B60),2)</f>
        <v>390</v>
      </c>
      <c r="V34" s="31">
        <f>ROUND(526*Belarus*(1-B60),2)</f>
        <v>526</v>
      </c>
      <c r="W34" s="243" t="s">
        <v>51</v>
      </c>
    </row>
    <row r="35" spans="1:23" ht="14.25" customHeight="1">
      <c r="A35" s="829"/>
      <c r="B35" s="35" t="s">
        <v>1835</v>
      </c>
      <c r="C35" s="35">
        <v>545</v>
      </c>
      <c r="D35" s="31" t="s">
        <v>51</v>
      </c>
      <c r="E35" s="31">
        <f>ROUND(1023*Belarus*(1-B60),2)</f>
        <v>1023</v>
      </c>
      <c r="F35" s="31">
        <f>ROUND(1070*Belarus*(1-B60),2)</f>
        <v>1070</v>
      </c>
      <c r="G35" s="31">
        <f>ROUND(868*Belarus*(1-B60),2)</f>
        <v>868</v>
      </c>
      <c r="H35" s="31">
        <f>ROUND(1211*Belarus*(1-B60),2)</f>
        <v>1211</v>
      </c>
      <c r="I35" s="32">
        <f>ROUND(1203*Belarus*(1-B60),2)</f>
        <v>1203</v>
      </c>
      <c r="J35" s="31">
        <f>ROUND(1002*Belarus*(1-B60),2)</f>
        <v>1002</v>
      </c>
      <c r="K35" s="31">
        <f>ROUND(984*Belarus*(1-B60),2)</f>
        <v>984</v>
      </c>
      <c r="L35" s="31">
        <f>ROUND(928*Belarus*(1-B60),2)</f>
        <v>928</v>
      </c>
      <c r="M35" s="31">
        <f>ROUND(1598*Belarus*(1-B60),2)</f>
        <v>1598</v>
      </c>
      <c r="N35" s="31">
        <f>ROUND(966*Belarus*(1-B60),2)</f>
        <v>966</v>
      </c>
      <c r="O35" s="31">
        <f>ROUND(952*Belarus*(1-B60),2)</f>
        <v>952</v>
      </c>
      <c r="P35" s="31">
        <f>ROUND(915*Belarus*(1-B60),2)</f>
        <v>915</v>
      </c>
      <c r="Q35" s="31">
        <f>ROUND(789*Belarus*(1-B60),2)</f>
        <v>789</v>
      </c>
      <c r="R35" s="31">
        <f>ROUND(782*Belarus*(1-B60),2)</f>
        <v>782</v>
      </c>
      <c r="S35" s="32">
        <f>ROUND(1014*Belarus*(1-B60),2)</f>
        <v>1014</v>
      </c>
      <c r="T35" s="31">
        <f>ROUND(779*Belarus*(1-B60),2)</f>
        <v>779</v>
      </c>
      <c r="U35" s="32">
        <f>ROUND(575*Belarus*(1-B60),2)</f>
        <v>575</v>
      </c>
      <c r="V35" s="31">
        <f>ROUND(779*Belarus*(1-B60),2)</f>
        <v>779</v>
      </c>
      <c r="W35" s="243" t="s">
        <v>51</v>
      </c>
    </row>
    <row r="36" spans="1:23" ht="12" customHeight="1">
      <c r="A36" s="830"/>
      <c r="B36" s="73">
        <v>0</v>
      </c>
      <c r="C36" s="35">
        <f>15+20+30+((B36/2)/(COS(RADIANS(20))))+((B36/2)/(COS(RADIANS(20))))+30+20+15</f>
        <v>130</v>
      </c>
      <c r="D36" s="235" t="s">
        <v>1836</v>
      </c>
      <c r="E36" s="310"/>
      <c r="F36" s="310"/>
      <c r="G36" s="310"/>
      <c r="H36" s="310"/>
      <c r="I36" s="310"/>
      <c r="J36" s="396"/>
      <c r="K36" s="310"/>
      <c r="L36" s="310"/>
      <c r="M36" s="310"/>
      <c r="N36" s="310"/>
      <c r="O36" s="310"/>
      <c r="P36" s="310"/>
      <c r="Q36" s="310"/>
      <c r="R36" s="310"/>
      <c r="S36" s="310"/>
      <c r="T36" s="310"/>
      <c r="U36" s="310"/>
      <c r="V36" s="310"/>
      <c r="W36" s="387"/>
    </row>
    <row r="37" spans="1:23" ht="11.25" customHeight="1">
      <c r="A37" s="831" t="s">
        <v>128</v>
      </c>
      <c r="B37" s="832"/>
      <c r="C37" s="832"/>
      <c r="D37" s="832"/>
      <c r="E37" s="832"/>
      <c r="F37" s="832"/>
      <c r="G37" s="832"/>
      <c r="H37" s="832"/>
      <c r="I37" s="832"/>
      <c r="J37" s="832"/>
      <c r="K37" s="832"/>
      <c r="L37" s="832"/>
      <c r="M37" s="832"/>
      <c r="N37" s="832"/>
      <c r="O37" s="832"/>
      <c r="P37" s="832"/>
      <c r="Q37" s="832"/>
      <c r="R37" s="832"/>
      <c r="S37" s="832"/>
      <c r="T37" s="832"/>
      <c r="U37" s="832"/>
      <c r="V37" s="832"/>
      <c r="W37" s="833"/>
    </row>
    <row r="38" spans="1:23" ht="11.2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row>
    <row r="39" spans="1:23" ht="11.25" customHeight="1">
      <c r="A39" s="266"/>
      <c r="B39" s="266"/>
      <c r="C39" s="266"/>
      <c r="D39" s="266"/>
      <c r="E39" s="266"/>
      <c r="F39" s="266"/>
      <c r="G39" s="266"/>
      <c r="H39" s="266"/>
      <c r="I39" s="266"/>
      <c r="J39" s="266"/>
      <c r="K39" s="266"/>
      <c r="L39" s="266"/>
      <c r="M39" s="266"/>
      <c r="N39" s="266"/>
      <c r="O39" s="266"/>
      <c r="P39" s="266"/>
      <c r="Q39" s="266"/>
      <c r="R39" s="266"/>
      <c r="S39" s="266"/>
      <c r="T39" s="266"/>
      <c r="U39" s="266"/>
      <c r="V39" s="266"/>
      <c r="W39" s="266"/>
    </row>
    <row r="40" spans="1:23" ht="11.25" customHeight="1">
      <c r="A40" s="47"/>
      <c r="B40" s="22"/>
      <c r="C40" s="22"/>
      <c r="D40" s="22"/>
      <c r="E40" s="22"/>
      <c r="F40" s="22"/>
      <c r="G40" s="22"/>
      <c r="H40" s="22"/>
      <c r="I40" s="22"/>
      <c r="J40" s="22"/>
      <c r="K40" s="22"/>
      <c r="L40" s="22"/>
      <c r="M40" s="22"/>
      <c r="N40" s="22"/>
      <c r="O40" s="22"/>
      <c r="P40" s="22"/>
      <c r="Q40" s="22"/>
      <c r="R40" s="22"/>
      <c r="S40" s="22"/>
      <c r="T40" s="22"/>
      <c r="U40" s="22"/>
      <c r="V40" s="22"/>
      <c r="W40" s="22"/>
    </row>
    <row r="41" spans="1:23" ht="22.5" customHeight="1">
      <c r="A41" s="578" t="s">
        <v>1502</v>
      </c>
      <c r="B41" s="579"/>
      <c r="C41" s="579"/>
      <c r="D41" s="579"/>
      <c r="E41" s="579"/>
      <c r="F41" s="580"/>
      <c r="I41" s="569" t="s">
        <v>70</v>
      </c>
      <c r="J41" s="569"/>
      <c r="K41" s="569"/>
      <c r="L41" s="569"/>
      <c r="M41" s="569"/>
      <c r="N41" s="569"/>
      <c r="O41" s="569"/>
      <c r="P41" s="569"/>
      <c r="Q41" s="569"/>
      <c r="R41" s="569"/>
      <c r="S41" s="569"/>
      <c r="T41" s="569"/>
      <c r="U41" s="569"/>
      <c r="V41" s="569"/>
      <c r="W41" s="569"/>
    </row>
    <row r="42" spans="1:23">
      <c r="A42" s="510" t="s">
        <v>846</v>
      </c>
      <c r="B42" s="510"/>
      <c r="C42" s="510"/>
      <c r="D42" s="741" t="str">
        <f>ROUND(15*Belarus,2)&amp;" руб./кв.м"</f>
        <v>15 руб./кв.м</v>
      </c>
      <c r="E42" s="741"/>
      <c r="F42" s="741"/>
      <c r="I42" s="634" t="s">
        <v>1837</v>
      </c>
      <c r="J42" s="634"/>
      <c r="K42" s="634"/>
      <c r="L42" s="634"/>
      <c r="M42" s="634"/>
      <c r="N42" s="634"/>
      <c r="O42" s="634"/>
      <c r="P42" s="634"/>
      <c r="Q42" s="634"/>
      <c r="R42" s="634"/>
      <c r="S42" s="634"/>
      <c r="T42" s="634"/>
      <c r="U42" s="634"/>
      <c r="V42" s="634"/>
      <c r="W42" s="634"/>
    </row>
    <row r="43" spans="1:23" ht="12.75" customHeight="1">
      <c r="I43" s="512" t="s">
        <v>1838</v>
      </c>
      <c r="J43" s="512"/>
      <c r="K43" s="512"/>
      <c r="L43" s="512"/>
      <c r="M43" s="512"/>
      <c r="N43" s="512"/>
      <c r="O43" s="512"/>
      <c r="P43" s="512"/>
      <c r="Q43" s="512"/>
      <c r="R43" s="512"/>
      <c r="S43" s="512"/>
      <c r="T43" s="512"/>
      <c r="U43" s="512"/>
      <c r="V43" s="512"/>
      <c r="W43" s="512"/>
    </row>
    <row r="44" spans="1:23" ht="17.25" customHeight="1">
      <c r="A44" s="578" t="s">
        <v>101</v>
      </c>
      <c r="B44" s="579"/>
      <c r="C44" s="579"/>
      <c r="D44" s="579"/>
      <c r="E44" s="579"/>
      <c r="F44" s="580"/>
      <c r="I44" s="512" t="s">
        <v>1839</v>
      </c>
      <c r="J44" s="512"/>
      <c r="K44" s="512"/>
      <c r="L44" s="512"/>
      <c r="M44" s="512"/>
      <c r="N44" s="512"/>
      <c r="O44" s="512"/>
      <c r="P44" s="512"/>
      <c r="Q44" s="512"/>
      <c r="R44" s="512"/>
      <c r="S44" s="512"/>
      <c r="T44" s="512"/>
      <c r="U44" s="512"/>
      <c r="V44" s="512"/>
      <c r="W44" s="512"/>
    </row>
    <row r="45" spans="1:23" ht="12.75" customHeight="1">
      <c r="A45" s="510" t="s">
        <v>1524</v>
      </c>
      <c r="B45" s="510"/>
      <c r="C45" s="510"/>
      <c r="D45" s="741" t="str">
        <f>(1000*Belarus)&amp;" руб."</f>
        <v>1000 руб.</v>
      </c>
      <c r="E45" s="741"/>
      <c r="F45" s="741"/>
      <c r="I45" s="634" t="s">
        <v>1840</v>
      </c>
      <c r="J45" s="634"/>
      <c r="K45" s="634"/>
      <c r="L45" s="634"/>
      <c r="M45" s="634"/>
      <c r="N45" s="634"/>
      <c r="O45" s="634"/>
      <c r="P45" s="634"/>
      <c r="Q45" s="634"/>
      <c r="R45" s="634"/>
      <c r="S45" s="634"/>
      <c r="T45" s="634"/>
      <c r="U45" s="634"/>
      <c r="V45" s="634"/>
      <c r="W45" s="634"/>
    </row>
    <row r="46" spans="1:23" ht="12.75" customHeight="1">
      <c r="A46" s="510" t="s">
        <v>1525</v>
      </c>
      <c r="B46" s="510"/>
      <c r="C46" s="510"/>
      <c r="D46" s="741" t="str">
        <f>(400*Belarus)&amp;" руб."</f>
        <v>400 руб.</v>
      </c>
      <c r="E46" s="741"/>
      <c r="F46" s="741"/>
      <c r="I46" s="512" t="s">
        <v>1507</v>
      </c>
      <c r="J46" s="512"/>
      <c r="K46" s="512"/>
      <c r="L46" s="512"/>
      <c r="M46" s="512"/>
      <c r="N46" s="512"/>
      <c r="O46" s="512"/>
      <c r="P46" s="512"/>
      <c r="Q46" s="512"/>
      <c r="R46" s="512"/>
      <c r="S46" s="512"/>
      <c r="T46" s="512"/>
      <c r="U46" s="512"/>
      <c r="V46" s="512"/>
      <c r="W46" s="512"/>
    </row>
    <row r="47" spans="1:23" ht="12.75" customHeight="1">
      <c r="A47" s="41"/>
      <c r="B47" s="535"/>
      <c r="C47" s="535"/>
      <c r="D47" s="75"/>
      <c r="E47" s="75"/>
      <c r="F47" s="75"/>
    </row>
    <row r="48" spans="1:23" ht="12.75" customHeight="1">
      <c r="A48" s="41"/>
      <c r="B48" s="230"/>
      <c r="C48" s="230"/>
      <c r="D48" s="42"/>
      <c r="E48" s="42"/>
      <c r="F48" s="42"/>
    </row>
    <row r="49" spans="1:23" ht="12.75" customHeight="1">
      <c r="A49" s="41"/>
      <c r="B49" s="230"/>
      <c r="C49" s="230"/>
      <c r="D49" s="42"/>
      <c r="E49" s="42"/>
      <c r="F49" s="42"/>
    </row>
    <row r="50" spans="1:23" ht="12.75" customHeight="1">
      <c r="A50" s="41"/>
      <c r="B50" s="230"/>
      <c r="C50" s="230"/>
      <c r="D50" s="41"/>
      <c r="E50" s="41"/>
      <c r="F50" s="41"/>
    </row>
    <row r="51" spans="1:23" s="10" customFormat="1" ht="12.75" customHeight="1">
      <c r="A51" s="41"/>
      <c r="B51" s="41"/>
      <c r="C51" s="41"/>
      <c r="D51" s="41"/>
      <c r="E51" s="41"/>
      <c r="F51" s="41"/>
      <c r="I51" s="41"/>
      <c r="J51" s="41"/>
      <c r="K51" s="41"/>
      <c r="L51" s="41"/>
      <c r="M51" s="41"/>
      <c r="N51" s="41"/>
      <c r="O51" s="41"/>
      <c r="P51" s="41"/>
      <c r="Q51" s="41"/>
      <c r="R51" s="41"/>
      <c r="S51" s="41"/>
      <c r="T51" s="41"/>
      <c r="U51" s="41"/>
      <c r="V51" s="41"/>
      <c r="W51" s="41"/>
    </row>
    <row r="52" spans="1:23" s="10" customFormat="1" ht="15.75" customHeight="1">
      <c r="A52" s="57"/>
      <c r="B52" s="57"/>
      <c r="C52" s="57"/>
      <c r="D52" s="57"/>
      <c r="E52" s="57"/>
      <c r="F52" s="57"/>
      <c r="I52" s="41"/>
      <c r="J52" s="41"/>
      <c r="K52" s="41"/>
      <c r="L52" s="41"/>
      <c r="M52" s="41"/>
      <c r="N52" s="41"/>
      <c r="O52" s="41"/>
      <c r="P52" s="41"/>
      <c r="Q52" s="41"/>
      <c r="R52" s="41"/>
      <c r="S52" s="41"/>
      <c r="T52" s="41"/>
      <c r="U52" s="41"/>
      <c r="V52" s="41"/>
      <c r="W52" s="41"/>
    </row>
    <row r="53" spans="1:23" s="10" customFormat="1" ht="12.75" customHeight="1">
      <c r="A53" s="57"/>
      <c r="B53" s="57"/>
      <c r="C53" s="57"/>
      <c r="D53" s="57"/>
      <c r="E53" s="57"/>
      <c r="F53" s="57"/>
      <c r="I53" s="41"/>
      <c r="J53" s="41"/>
      <c r="K53" s="41"/>
      <c r="L53" s="41"/>
      <c r="M53" s="41"/>
      <c r="N53" s="41"/>
      <c r="O53" s="41"/>
      <c r="P53" s="41"/>
      <c r="Q53" s="41"/>
      <c r="R53" s="41"/>
      <c r="S53" s="41"/>
      <c r="T53" s="41"/>
      <c r="U53" s="41"/>
      <c r="V53" s="41"/>
      <c r="W53" s="41"/>
    </row>
    <row r="54" spans="1:23" ht="12.75" customHeight="1"/>
    <row r="55" spans="1:23" ht="12.75" customHeight="1"/>
    <row r="58" spans="1:23" ht="21.75" customHeight="1">
      <c r="C58" s="53"/>
      <c r="D58" s="40"/>
      <c r="E58" s="40"/>
      <c r="F58" s="40"/>
      <c r="G58" s="40"/>
      <c r="H58" s="40"/>
      <c r="I58" s="40"/>
      <c r="J58" s="40"/>
      <c r="K58" s="40"/>
      <c r="L58" s="40"/>
      <c r="M58" s="40"/>
      <c r="N58" s="40"/>
      <c r="O58" s="40"/>
      <c r="P58" s="40"/>
      <c r="Q58" s="40"/>
      <c r="R58" s="40"/>
      <c r="S58" s="40"/>
      <c r="T58" s="53"/>
      <c r="U58" s="53"/>
      <c r="V58" s="40"/>
      <c r="W58" s="40"/>
    </row>
    <row r="59" spans="1:23">
      <c r="A59" s="653" t="s">
        <v>79</v>
      </c>
      <c r="B59" s="654"/>
      <c r="C59" s="53"/>
      <c r="D59" s="57"/>
      <c r="E59" s="225"/>
      <c r="F59" s="225"/>
      <c r="G59" s="225"/>
      <c r="H59" s="225"/>
      <c r="I59" s="225"/>
      <c r="J59" s="225"/>
      <c r="K59" s="225"/>
      <c r="L59" s="225"/>
      <c r="M59" s="225"/>
      <c r="N59" s="225"/>
      <c r="O59" s="225"/>
      <c r="P59" s="225"/>
      <c r="Q59" s="225"/>
      <c r="R59" s="225"/>
      <c r="S59" s="225"/>
      <c r="T59" s="225"/>
      <c r="U59" s="225"/>
      <c r="V59" s="225"/>
      <c r="W59" s="225"/>
    </row>
    <row r="60" spans="1:23">
      <c r="A60" s="62" t="s">
        <v>1675</v>
      </c>
      <c r="B60" s="153">
        <v>0</v>
      </c>
      <c r="C60" s="53"/>
      <c r="D60" s="57"/>
      <c r="E60" s="225"/>
      <c r="F60" s="225"/>
      <c r="G60" s="225"/>
      <c r="H60" s="225"/>
      <c r="I60" s="225"/>
      <c r="J60" s="225"/>
      <c r="K60" s="225"/>
      <c r="L60" s="225"/>
      <c r="M60" s="225"/>
      <c r="N60" s="225"/>
      <c r="O60" s="225"/>
      <c r="P60" s="225"/>
      <c r="Q60" s="225"/>
      <c r="R60" s="225"/>
      <c r="S60" s="225"/>
      <c r="T60" s="225"/>
      <c r="U60" s="225"/>
      <c r="V60" s="225"/>
      <c r="W60" s="225"/>
    </row>
    <row r="61" spans="1:23" ht="12.75" customHeight="1">
      <c r="A61" s="62" t="s">
        <v>106</v>
      </c>
      <c r="B61" s="153">
        <v>0</v>
      </c>
    </row>
    <row r="63" spans="1:23">
      <c r="A63" s="279" t="s">
        <v>1527</v>
      </c>
    </row>
  </sheetData>
  <sheetProtection selectLockedCells="1" selectUnlockedCells="1"/>
  <mergeCells count="38">
    <mergeCell ref="A46:C46"/>
    <mergeCell ref="D46:F46"/>
    <mergeCell ref="I46:W46"/>
    <mergeCell ref="B47:C47"/>
    <mergeCell ref="A59:B59"/>
    <mergeCell ref="A23:A29"/>
    <mergeCell ref="I45:W45"/>
    <mergeCell ref="A30:A36"/>
    <mergeCell ref="A37:W37"/>
    <mergeCell ref="A41:F41"/>
    <mergeCell ref="I41:W41"/>
    <mergeCell ref="A42:C42"/>
    <mergeCell ref="D42:F42"/>
    <mergeCell ref="I42:W42"/>
    <mergeCell ref="I43:W43"/>
    <mergeCell ref="A44:F44"/>
    <mergeCell ref="I44:W44"/>
    <mergeCell ref="A45:C45"/>
    <mergeCell ref="D45:F45"/>
    <mergeCell ref="B17:C17"/>
    <mergeCell ref="A21:A22"/>
    <mergeCell ref="B21:B22"/>
    <mergeCell ref="C21:C22"/>
    <mergeCell ref="D21:W21"/>
    <mergeCell ref="A7:B7"/>
    <mergeCell ref="A8:B8"/>
    <mergeCell ref="A9:B9"/>
    <mergeCell ref="A10:W11"/>
    <mergeCell ref="A15:A16"/>
    <mergeCell ref="B15:C16"/>
    <mergeCell ref="D15:W15"/>
    <mergeCell ref="A1:D1"/>
    <mergeCell ref="A2:S2"/>
    <mergeCell ref="V2:W2"/>
    <mergeCell ref="V3:W3"/>
    <mergeCell ref="A5:B6"/>
    <mergeCell ref="C5:C6"/>
    <mergeCell ref="D5:W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4" firstPageNumber="0" orientation="landscape" r:id="rId1"/>
  <headerFooter scaleWithDoc="0">
    <oddHeader>&amp;L&amp;G&amp;R&amp;5Центр поддержки клиентов Grand Line: 8-800-770-77-36
cайт: www.grandline.ru</oddHeader>
  </headerFooter>
  <drawing r:id="rId2"/>
  <legacyDrawingHF r:id="rId3"/>
</worksheet>
</file>

<file path=xl/worksheets/sheet4.xml><?xml version="1.0" encoding="utf-8"?>
<worksheet xmlns="http://schemas.openxmlformats.org/spreadsheetml/2006/main" xmlns:r="http://schemas.openxmlformats.org/officeDocument/2006/relationships">
  <sheetPr>
    <tabColor rgb="FF99CC00"/>
    <pageSetUpPr fitToPage="1"/>
  </sheetPr>
  <dimension ref="A1:K62"/>
  <sheetViews>
    <sheetView zoomScale="75" zoomScaleNormal="75" zoomScaleSheetLayoutView="40" workbookViewId="0">
      <selection sqref="A1:D1"/>
    </sheetView>
  </sheetViews>
  <sheetFormatPr defaultRowHeight="15"/>
  <cols>
    <col min="1" max="1" width="30.85546875" style="470" customWidth="1"/>
    <col min="2" max="2" width="58.5703125" style="470" customWidth="1"/>
    <col min="3" max="3" width="17.28515625" style="470" customWidth="1"/>
    <col min="4" max="4" width="24.140625" style="470" customWidth="1"/>
    <col min="5" max="6" width="14.28515625" style="470" customWidth="1"/>
    <col min="7" max="7" width="15.28515625" style="470" customWidth="1"/>
    <col min="8" max="8" width="14.42578125" style="470" customWidth="1"/>
    <col min="9" max="9" width="23.42578125" style="470" customWidth="1"/>
    <col min="10" max="10" width="37.28515625" style="470" customWidth="1"/>
    <col min="11" max="11" width="6.7109375" style="470" customWidth="1"/>
    <col min="12" max="16384" width="9.140625" style="470"/>
  </cols>
  <sheetData>
    <row r="1" spans="1:11">
      <c r="A1" s="614" t="s">
        <v>19</v>
      </c>
      <c r="B1" s="614"/>
      <c r="C1" s="614"/>
      <c r="D1" s="614"/>
      <c r="E1" s="65"/>
      <c r="F1" s="65"/>
      <c r="G1" s="65"/>
      <c r="H1" s="8"/>
      <c r="I1" s="8"/>
      <c r="J1" s="8"/>
      <c r="K1" s="8"/>
    </row>
    <row r="2" spans="1:11" ht="18.75" thickBot="1">
      <c r="A2" s="858" t="s">
        <v>1747</v>
      </c>
      <c r="B2" s="858"/>
      <c r="C2" s="858"/>
      <c r="D2" s="858"/>
      <c r="E2" s="858"/>
      <c r="F2" s="858"/>
      <c r="G2" s="114"/>
      <c r="H2" s="77"/>
      <c r="I2" s="115" t="s">
        <v>20</v>
      </c>
      <c r="J2" s="362">
        <v>43920</v>
      </c>
      <c r="K2" s="8"/>
    </row>
    <row r="3" spans="1:11" ht="34.5" customHeight="1">
      <c r="A3" s="859" t="s">
        <v>1514</v>
      </c>
      <c r="B3" s="859"/>
      <c r="C3" s="859"/>
      <c r="D3" s="859"/>
      <c r="E3" s="859"/>
      <c r="F3" s="859"/>
      <c r="G3" s="859"/>
      <c r="H3" s="859"/>
      <c r="I3" s="859"/>
      <c r="J3" s="859"/>
      <c r="K3" s="8"/>
    </row>
    <row r="4" spans="1:11">
      <c r="A4" s="860"/>
      <c r="B4" s="860"/>
      <c r="C4" s="860"/>
      <c r="D4" s="860"/>
      <c r="E4" s="860"/>
      <c r="F4" s="860"/>
      <c r="G4" s="860"/>
      <c r="H4" s="860"/>
      <c r="I4" s="860"/>
      <c r="J4" s="860"/>
      <c r="K4" s="8"/>
    </row>
    <row r="5" spans="1:11" ht="15.75">
      <c r="A5" s="116"/>
      <c r="B5" s="363"/>
      <c r="C5" s="363"/>
      <c r="D5" s="363"/>
      <c r="E5" s="363"/>
      <c r="F5" s="363"/>
      <c r="G5" s="363"/>
      <c r="H5" s="363"/>
      <c r="I5" s="117" t="s">
        <v>849</v>
      </c>
      <c r="J5" s="118">
        <v>43920</v>
      </c>
      <c r="K5" s="8"/>
    </row>
    <row r="6" spans="1:11" ht="66" customHeight="1">
      <c r="A6" s="854" t="s">
        <v>855</v>
      </c>
      <c r="B6" s="854" t="s">
        <v>18</v>
      </c>
      <c r="C6" s="854" t="s">
        <v>1748</v>
      </c>
      <c r="D6" s="854" t="s">
        <v>856</v>
      </c>
      <c r="E6" s="854" t="s">
        <v>1749</v>
      </c>
      <c r="F6" s="854" t="s">
        <v>1750</v>
      </c>
      <c r="G6" s="854" t="s">
        <v>857</v>
      </c>
      <c r="H6" s="854" t="s">
        <v>1751</v>
      </c>
      <c r="I6" s="569" t="s">
        <v>1752</v>
      </c>
      <c r="J6" s="569"/>
      <c r="K6" s="36"/>
    </row>
    <row r="7" spans="1:11" ht="12.75" customHeight="1">
      <c r="A7" s="854"/>
      <c r="B7" s="854"/>
      <c r="C7" s="854"/>
      <c r="D7" s="854"/>
      <c r="E7" s="854"/>
      <c r="F7" s="854"/>
      <c r="G7" s="854"/>
      <c r="H7" s="854"/>
      <c r="I7" s="861" t="s">
        <v>1753</v>
      </c>
      <c r="J7" s="861"/>
      <c r="K7" s="36"/>
    </row>
    <row r="8" spans="1:11" ht="12.75" customHeight="1">
      <c r="A8" s="855" t="s">
        <v>1754</v>
      </c>
      <c r="B8" s="856"/>
      <c r="C8" s="856"/>
      <c r="D8" s="856"/>
      <c r="E8" s="856"/>
      <c r="F8" s="856"/>
      <c r="G8" s="856"/>
      <c r="H8" s="856"/>
      <c r="I8" s="856"/>
      <c r="J8" s="857"/>
      <c r="K8" s="36"/>
    </row>
    <row r="9" spans="1:11" ht="19.5" customHeight="1">
      <c r="A9" s="849"/>
      <c r="B9" s="849" t="s">
        <v>1755</v>
      </c>
      <c r="C9" s="364" t="s">
        <v>1756</v>
      </c>
      <c r="D9" s="121" t="s">
        <v>859</v>
      </c>
      <c r="E9" s="364">
        <v>3</v>
      </c>
      <c r="F9" s="364">
        <v>7.33</v>
      </c>
      <c r="G9" s="364">
        <v>80</v>
      </c>
      <c r="H9" s="479">
        <f>ROUND(1375*Belarus*(1-C59),2)</f>
        <v>1375</v>
      </c>
      <c r="I9" s="834" t="s">
        <v>51</v>
      </c>
      <c r="J9" s="835"/>
      <c r="K9" s="36"/>
    </row>
    <row r="10" spans="1:11" ht="19.5" customHeight="1">
      <c r="A10" s="850"/>
      <c r="B10" s="850"/>
      <c r="C10" s="121" t="s">
        <v>1757</v>
      </c>
      <c r="D10" s="121" t="s">
        <v>859</v>
      </c>
      <c r="E10" s="121">
        <v>3</v>
      </c>
      <c r="F10" s="121">
        <v>8.1300000000000008</v>
      </c>
      <c r="G10" s="121">
        <v>80</v>
      </c>
      <c r="H10" s="474">
        <f>ROUND(1472*Belarus*(1-C59),2)</f>
        <v>1472</v>
      </c>
      <c r="I10" s="834" t="s">
        <v>51</v>
      </c>
      <c r="J10" s="835"/>
      <c r="K10" s="36"/>
    </row>
    <row r="11" spans="1:11" ht="19.5" customHeight="1">
      <c r="A11" s="850"/>
      <c r="B11" s="851"/>
      <c r="C11" s="121" t="s">
        <v>1758</v>
      </c>
      <c r="D11" s="121" t="s">
        <v>859</v>
      </c>
      <c r="E11" s="121">
        <v>4</v>
      </c>
      <c r="F11" s="121">
        <v>9.69</v>
      </c>
      <c r="G11" s="121">
        <v>80</v>
      </c>
      <c r="H11" s="474">
        <f>ROUND(1642*Belarus*(1-C59),2)</f>
        <v>1642</v>
      </c>
      <c r="I11" s="834" t="s">
        <v>51</v>
      </c>
      <c r="J11" s="835"/>
      <c r="K11" s="36"/>
    </row>
    <row r="12" spans="1:11" s="120" customFormat="1" ht="19.5" customHeight="1">
      <c r="A12" s="850"/>
      <c r="B12" s="849" t="s">
        <v>1759</v>
      </c>
      <c r="C12" s="364" t="s">
        <v>1756</v>
      </c>
      <c r="D12" s="364" t="s">
        <v>858</v>
      </c>
      <c r="E12" s="364">
        <v>3</v>
      </c>
      <c r="F12" s="364">
        <v>7.33</v>
      </c>
      <c r="G12" s="364">
        <v>80</v>
      </c>
      <c r="H12" s="479">
        <f>ROUND(1581*Belarus*(1-C59),2)</f>
        <v>1581</v>
      </c>
      <c r="I12" s="834" t="s">
        <v>51</v>
      </c>
      <c r="J12" s="835"/>
      <c r="K12" s="57"/>
    </row>
    <row r="13" spans="1:11" s="120" customFormat="1" ht="19.5" customHeight="1">
      <c r="A13" s="850"/>
      <c r="B13" s="850"/>
      <c r="C13" s="121" t="s">
        <v>1757</v>
      </c>
      <c r="D13" s="121" t="s">
        <v>858</v>
      </c>
      <c r="E13" s="121">
        <v>3</v>
      </c>
      <c r="F13" s="121">
        <v>8.1300000000000008</v>
      </c>
      <c r="G13" s="121">
        <v>80</v>
      </c>
      <c r="H13" s="474">
        <f>ROUND(1691*Belarus*(1-C59),2)</f>
        <v>1691</v>
      </c>
      <c r="I13" s="834" t="s">
        <v>51</v>
      </c>
      <c r="J13" s="835"/>
      <c r="K13" s="57"/>
    </row>
    <row r="14" spans="1:11" s="120" customFormat="1" ht="22.5" customHeight="1">
      <c r="A14" s="851"/>
      <c r="B14" s="851"/>
      <c r="C14" s="121" t="s">
        <v>1758</v>
      </c>
      <c r="D14" s="121" t="s">
        <v>858</v>
      </c>
      <c r="E14" s="121">
        <v>4</v>
      </c>
      <c r="F14" s="121">
        <v>9.69</v>
      </c>
      <c r="G14" s="121">
        <v>80</v>
      </c>
      <c r="H14" s="474">
        <f>ROUND(1886*Belarus*(1-C59),2)</f>
        <v>1886</v>
      </c>
      <c r="I14" s="834" t="s">
        <v>51</v>
      </c>
      <c r="J14" s="835"/>
      <c r="K14" s="57"/>
    </row>
    <row r="15" spans="1:11" s="120" customFormat="1" ht="12.75" customHeight="1">
      <c r="A15" s="854" t="s">
        <v>1760</v>
      </c>
      <c r="B15" s="854"/>
      <c r="C15" s="854"/>
      <c r="D15" s="854"/>
      <c r="E15" s="854"/>
      <c r="F15" s="854"/>
      <c r="G15" s="854"/>
      <c r="H15" s="854"/>
      <c r="I15" s="854"/>
      <c r="J15" s="854"/>
      <c r="K15" s="57"/>
    </row>
    <row r="16" spans="1:11" s="120" customFormat="1" ht="12.75" customHeight="1">
      <c r="A16" s="849"/>
      <c r="B16" s="843" t="s">
        <v>1761</v>
      </c>
      <c r="C16" s="121" t="s">
        <v>1765</v>
      </c>
      <c r="D16" s="121" t="s">
        <v>859</v>
      </c>
      <c r="E16" s="121">
        <v>2</v>
      </c>
      <c r="F16" s="121">
        <v>4.45</v>
      </c>
      <c r="G16" s="121">
        <v>140</v>
      </c>
      <c r="H16" s="361">
        <f>ROUND(830*Belarus*(1-C59),2)</f>
        <v>830</v>
      </c>
      <c r="I16" s="852">
        <f>ROUND(554*Belarus*(1-C59),2)</f>
        <v>554</v>
      </c>
      <c r="J16" s="853"/>
      <c r="K16" s="57"/>
    </row>
    <row r="17" spans="1:11" ht="15" customHeight="1">
      <c r="A17" s="850"/>
      <c r="B17" s="844"/>
      <c r="C17" s="121" t="s">
        <v>1762</v>
      </c>
      <c r="D17" s="121" t="s">
        <v>859</v>
      </c>
      <c r="E17" s="121">
        <v>2</v>
      </c>
      <c r="F17" s="365">
        <v>6.58</v>
      </c>
      <c r="G17" s="366">
        <v>70</v>
      </c>
      <c r="H17" s="361">
        <f>ROUND(1141*Belarus*(1-C59),2)</f>
        <v>1141</v>
      </c>
      <c r="I17" s="846">
        <f>ROUND(742*Belarus*(1-C59),2)</f>
        <v>742</v>
      </c>
      <c r="J17" s="846"/>
      <c r="K17" s="70"/>
    </row>
    <row r="18" spans="1:11">
      <c r="A18" s="850"/>
      <c r="B18" s="844"/>
      <c r="C18" s="367" t="s">
        <v>1756</v>
      </c>
      <c r="D18" s="121" t="s">
        <v>859</v>
      </c>
      <c r="E18" s="368">
        <v>3</v>
      </c>
      <c r="F18" s="369">
        <v>9.6999999999999993</v>
      </c>
      <c r="G18" s="370">
        <v>70</v>
      </c>
      <c r="H18" s="474">
        <f>ROUND(1617*Belarus*(1-C59),2)</f>
        <v>1617</v>
      </c>
      <c r="I18" s="846">
        <f>ROUND(1074*Belarus*(1-C59),2)</f>
        <v>1074</v>
      </c>
      <c r="J18" s="846"/>
      <c r="K18" s="70"/>
    </row>
    <row r="19" spans="1:11">
      <c r="A19" s="850"/>
      <c r="B19" s="844"/>
      <c r="C19" s="367" t="s">
        <v>1757</v>
      </c>
      <c r="D19" s="121" t="s">
        <v>859</v>
      </c>
      <c r="E19" s="368">
        <v>3</v>
      </c>
      <c r="F19" s="369">
        <v>10.73</v>
      </c>
      <c r="G19" s="370">
        <v>70</v>
      </c>
      <c r="H19" s="474">
        <f>ROUND(1795*Belarus*(1-C59),2)</f>
        <v>1795</v>
      </c>
      <c r="I19" s="846">
        <f>ROUND(1146*Belarus*(1-C59),2)</f>
        <v>1146</v>
      </c>
      <c r="J19" s="846"/>
      <c r="K19" s="70"/>
    </row>
    <row r="20" spans="1:11">
      <c r="A20" s="850"/>
      <c r="B20" s="844"/>
      <c r="C20" s="367" t="s">
        <v>1758</v>
      </c>
      <c r="D20" s="121" t="s">
        <v>859</v>
      </c>
      <c r="E20" s="368">
        <v>4</v>
      </c>
      <c r="F20" s="369">
        <v>12.78</v>
      </c>
      <c r="G20" s="370">
        <v>70</v>
      </c>
      <c r="H20" s="474">
        <f>ROUND(2052*Belarus*(1-C59),2)</f>
        <v>2052</v>
      </c>
      <c r="I20" s="846">
        <f>ROUND(1272*Belarus*(1-C59),2)</f>
        <v>1272</v>
      </c>
      <c r="J20" s="846"/>
      <c r="K20" s="70"/>
    </row>
    <row r="21" spans="1:11">
      <c r="A21" s="850"/>
      <c r="B21" s="845"/>
      <c r="C21" s="367" t="s">
        <v>1763</v>
      </c>
      <c r="D21" s="121" t="s">
        <v>859</v>
      </c>
      <c r="E21" s="368">
        <v>4</v>
      </c>
      <c r="F21" s="369">
        <v>14.89</v>
      </c>
      <c r="G21" s="370">
        <v>70</v>
      </c>
      <c r="H21" s="474">
        <f>ROUND(2394*Belarus*(1-C59),2)</f>
        <v>2394</v>
      </c>
      <c r="I21" s="846">
        <f>ROUND(1480*Belarus*(1-C59),2)</f>
        <v>1480</v>
      </c>
      <c r="J21" s="846"/>
      <c r="K21" s="70"/>
    </row>
    <row r="22" spans="1:11">
      <c r="A22" s="850"/>
      <c r="B22" s="848" t="s">
        <v>1764</v>
      </c>
      <c r="C22" s="121" t="s">
        <v>1765</v>
      </c>
      <c r="D22" s="121" t="s">
        <v>858</v>
      </c>
      <c r="E22" s="368">
        <v>2</v>
      </c>
      <c r="F22" s="369">
        <v>4.45</v>
      </c>
      <c r="G22" s="370">
        <v>140</v>
      </c>
      <c r="H22" s="361">
        <f>ROUND(952*Belarus*(1-C638),2)</f>
        <v>952</v>
      </c>
      <c r="I22" s="846">
        <f>ROUND(660*Belarus*(1-C59),2)</f>
        <v>660</v>
      </c>
      <c r="J22" s="846"/>
      <c r="K22" s="70"/>
    </row>
    <row r="23" spans="1:11" ht="12.75" customHeight="1">
      <c r="A23" s="850"/>
      <c r="B23" s="848"/>
      <c r="C23" s="121" t="s">
        <v>1766</v>
      </c>
      <c r="D23" s="121" t="s">
        <v>858</v>
      </c>
      <c r="E23" s="121">
        <v>2</v>
      </c>
      <c r="F23" s="365">
        <v>6.58</v>
      </c>
      <c r="G23" s="366">
        <v>70</v>
      </c>
      <c r="H23" s="361">
        <f>ROUND(1309*Belarus*(1-C59),2)</f>
        <v>1309</v>
      </c>
      <c r="I23" s="846">
        <f>ROUND(887*Belarus*(1-C59),2)</f>
        <v>887</v>
      </c>
      <c r="J23" s="846"/>
      <c r="K23" s="70"/>
    </row>
    <row r="24" spans="1:11" ht="20.25" customHeight="1">
      <c r="A24" s="850"/>
      <c r="B24" s="848"/>
      <c r="C24" s="121" t="s">
        <v>1936</v>
      </c>
      <c r="D24" s="121" t="s">
        <v>858</v>
      </c>
      <c r="E24" s="121">
        <v>2</v>
      </c>
      <c r="F24" s="365">
        <v>7.62</v>
      </c>
      <c r="G24" s="366">
        <v>80</v>
      </c>
      <c r="H24" s="361">
        <f>ROUND(1519*Belarus*(1-C59),2)</f>
        <v>1519</v>
      </c>
      <c r="I24" s="834">
        <f>ROUND(1139*Belarus*(1-C59),2)</f>
        <v>1139</v>
      </c>
      <c r="J24" s="835"/>
      <c r="K24" s="70"/>
    </row>
    <row r="25" spans="1:11" ht="26.25" customHeight="1">
      <c r="A25" s="850"/>
      <c r="B25" s="848"/>
      <c r="C25" s="367" t="s">
        <v>1756</v>
      </c>
      <c r="D25" s="121" t="s">
        <v>860</v>
      </c>
      <c r="E25" s="368">
        <v>3</v>
      </c>
      <c r="F25" s="369">
        <v>9.6999999999999993</v>
      </c>
      <c r="G25" s="370">
        <v>70</v>
      </c>
      <c r="H25" s="474">
        <f>ROUND(1855*Belarus*(1-C59),2)</f>
        <v>1855</v>
      </c>
      <c r="I25" s="846">
        <f>ROUND(1297*Belarus*(1-C59),2)</f>
        <v>1297</v>
      </c>
      <c r="J25" s="846"/>
      <c r="K25" s="70"/>
    </row>
    <row r="26" spans="1:11" ht="26.25" customHeight="1">
      <c r="A26" s="850"/>
      <c r="B26" s="848"/>
      <c r="C26" s="367" t="s">
        <v>1757</v>
      </c>
      <c r="D26" s="121" t="s">
        <v>860</v>
      </c>
      <c r="E26" s="368">
        <v>3</v>
      </c>
      <c r="F26" s="369">
        <v>10.73</v>
      </c>
      <c r="G26" s="370">
        <v>70</v>
      </c>
      <c r="H26" s="474">
        <f>ROUND(2060*Belarus*(1-C59),2)</f>
        <v>2060</v>
      </c>
      <c r="I26" s="846">
        <f>ROUND(1379*Belarus*(1-C59),2)</f>
        <v>1379</v>
      </c>
      <c r="J26" s="846"/>
      <c r="K26" s="70"/>
    </row>
    <row r="27" spans="1:11" ht="12.75" customHeight="1">
      <c r="A27" s="850"/>
      <c r="B27" s="848"/>
      <c r="C27" s="367" t="s">
        <v>1767</v>
      </c>
      <c r="D27" s="121" t="s">
        <v>858</v>
      </c>
      <c r="E27" s="368">
        <v>3</v>
      </c>
      <c r="F27" s="369">
        <v>13.07</v>
      </c>
      <c r="G27" s="370">
        <v>70</v>
      </c>
      <c r="H27" s="474">
        <f>ROUND(2466*Belarus*(1-C59),2)</f>
        <v>2466</v>
      </c>
      <c r="I27" s="846">
        <f>ROUND(1541*Belarus*(1-C59),2)</f>
        <v>1541</v>
      </c>
      <c r="J27" s="846"/>
      <c r="K27" s="70"/>
    </row>
    <row r="28" spans="1:11" ht="38.25">
      <c r="A28" s="850"/>
      <c r="B28" s="848"/>
      <c r="C28" s="367" t="s">
        <v>1758</v>
      </c>
      <c r="D28" s="121" t="s">
        <v>1768</v>
      </c>
      <c r="E28" s="368">
        <v>4</v>
      </c>
      <c r="F28" s="369">
        <v>12.78</v>
      </c>
      <c r="G28" s="370">
        <v>70</v>
      </c>
      <c r="H28" s="474">
        <f>ROUND(2354*Belarus*(1-C59),2)</f>
        <v>2354</v>
      </c>
      <c r="I28" s="846">
        <f>ROUND(1520*Belarus*(1-C59),2)</f>
        <v>1520</v>
      </c>
      <c r="J28" s="846"/>
      <c r="K28" s="70"/>
    </row>
    <row r="29" spans="1:11">
      <c r="A29" s="850"/>
      <c r="B29" s="848"/>
      <c r="C29" s="367" t="s">
        <v>1769</v>
      </c>
      <c r="D29" s="121" t="s">
        <v>858</v>
      </c>
      <c r="E29" s="368">
        <v>4</v>
      </c>
      <c r="F29" s="369">
        <v>15.57</v>
      </c>
      <c r="G29" s="370">
        <v>70</v>
      </c>
      <c r="H29" s="474">
        <f>ROUND(2816*Belarus*(1-C59),2)</f>
        <v>2816</v>
      </c>
      <c r="I29" s="846">
        <f>ROUND(1704*Belarus*(1-C59),2)</f>
        <v>1704</v>
      </c>
      <c r="J29" s="846"/>
      <c r="K29" s="70"/>
    </row>
    <row r="30" spans="1:11" ht="12.75" customHeight="1">
      <c r="A30" s="851"/>
      <c r="B30" s="848"/>
      <c r="C30" s="367" t="s">
        <v>1763</v>
      </c>
      <c r="D30" s="121" t="s">
        <v>858</v>
      </c>
      <c r="E30" s="368">
        <v>4</v>
      </c>
      <c r="F30" s="369">
        <v>14.89</v>
      </c>
      <c r="G30" s="370">
        <v>70</v>
      </c>
      <c r="H30" s="474">
        <f>ROUND(2747*Belarus*(1-C59),2)</f>
        <v>2747</v>
      </c>
      <c r="I30" s="846">
        <f>ROUND(1774*Belarus*(1-C59),2)</f>
        <v>1774</v>
      </c>
      <c r="J30" s="846"/>
      <c r="K30" s="70"/>
    </row>
    <row r="31" spans="1:11" ht="12.75" customHeight="1">
      <c r="A31" s="847"/>
      <c r="B31" s="848" t="s">
        <v>1770</v>
      </c>
      <c r="C31" s="121" t="s">
        <v>1771</v>
      </c>
      <c r="D31" s="121" t="s">
        <v>859</v>
      </c>
      <c r="E31" s="368">
        <v>2</v>
      </c>
      <c r="F31" s="369">
        <v>7.07</v>
      </c>
      <c r="G31" s="370">
        <v>120</v>
      </c>
      <c r="H31" s="474">
        <f>ROUND(1299*Belarus*(1-C59),2)</f>
        <v>1299</v>
      </c>
      <c r="I31" s="846">
        <f>ROUND(799*Belarus*(1-C59),2)</f>
        <v>799</v>
      </c>
      <c r="J31" s="846"/>
      <c r="K31" s="70"/>
    </row>
    <row r="32" spans="1:11" ht="12.75" customHeight="1">
      <c r="A32" s="847"/>
      <c r="B32" s="848"/>
      <c r="C32" s="121" t="s">
        <v>1762</v>
      </c>
      <c r="D32" s="121" t="s">
        <v>859</v>
      </c>
      <c r="E32" s="121">
        <v>2</v>
      </c>
      <c r="F32" s="369">
        <v>10.43</v>
      </c>
      <c r="G32" s="370">
        <v>60</v>
      </c>
      <c r="H32" s="361">
        <f>ROUND(1787*Belarus*(1-C59),2)</f>
        <v>1787</v>
      </c>
      <c r="I32" s="846">
        <f>ROUND(1078*Belarus*(1-C59),2)</f>
        <v>1078</v>
      </c>
      <c r="J32" s="846"/>
    </row>
    <row r="33" spans="1:11">
      <c r="A33" s="847"/>
      <c r="B33" s="848"/>
      <c r="C33" s="367" t="s">
        <v>1756</v>
      </c>
      <c r="D33" s="121" t="s">
        <v>859</v>
      </c>
      <c r="E33" s="368">
        <v>3</v>
      </c>
      <c r="F33" s="369">
        <v>15.37</v>
      </c>
      <c r="G33" s="370">
        <v>60</v>
      </c>
      <c r="H33" s="474">
        <f>ROUND(2531*Belarus*(1-C59),2)</f>
        <v>2531</v>
      </c>
      <c r="I33" s="846">
        <f>ROUND(1440*Belarus*(1-C59),2)</f>
        <v>1440</v>
      </c>
      <c r="J33" s="846"/>
      <c r="K33" s="70"/>
    </row>
    <row r="34" spans="1:11">
      <c r="A34" s="847"/>
      <c r="B34" s="848"/>
      <c r="C34" s="367" t="s">
        <v>1757</v>
      </c>
      <c r="D34" s="121" t="s">
        <v>859</v>
      </c>
      <c r="E34" s="368">
        <v>3</v>
      </c>
      <c r="F34" s="369">
        <v>17.05</v>
      </c>
      <c r="G34" s="370">
        <v>60</v>
      </c>
      <c r="H34" s="474">
        <f>ROUND(2809*Belarus*(1-C59),2)</f>
        <v>2809</v>
      </c>
      <c r="I34" s="846">
        <f>ROUND(1551*Belarus*(1-C59),2)</f>
        <v>1551</v>
      </c>
      <c r="J34" s="846"/>
      <c r="K34" s="70"/>
    </row>
    <row r="35" spans="1:11">
      <c r="A35" s="847"/>
      <c r="B35" s="848"/>
      <c r="C35" s="367" t="s">
        <v>1758</v>
      </c>
      <c r="D35" s="121" t="s">
        <v>859</v>
      </c>
      <c r="E35" s="368">
        <v>4</v>
      </c>
      <c r="F35" s="369">
        <v>20.309999999999999</v>
      </c>
      <c r="G35" s="370">
        <v>60</v>
      </c>
      <c r="H35" s="474">
        <f>ROUND(3214*Belarus*(1-C59),2)</f>
        <v>3214</v>
      </c>
      <c r="I35" s="846">
        <f>ROUND(1736*Belarus*(1-C59),2)</f>
        <v>1736</v>
      </c>
      <c r="J35" s="846"/>
      <c r="K35" s="70"/>
    </row>
    <row r="36" spans="1:11">
      <c r="A36" s="847"/>
      <c r="B36" s="848"/>
      <c r="C36" s="367" t="s">
        <v>1763</v>
      </c>
      <c r="D36" s="121" t="s">
        <v>859</v>
      </c>
      <c r="E36" s="368">
        <v>4</v>
      </c>
      <c r="F36" s="369">
        <v>23.67</v>
      </c>
      <c r="G36" s="370">
        <v>60</v>
      </c>
      <c r="H36" s="474">
        <f>ROUND(3746*Belarus*(1-C59),2)</f>
        <v>3746</v>
      </c>
      <c r="I36" s="846">
        <f>ROUND(2021*Belarus*(1-C59),2)</f>
        <v>2021</v>
      </c>
      <c r="J36" s="846"/>
      <c r="K36" s="70"/>
    </row>
    <row r="37" spans="1:11" ht="12.75" customHeight="1">
      <c r="A37" s="847"/>
      <c r="B37" s="843" t="s">
        <v>1772</v>
      </c>
      <c r="C37" s="367" t="s">
        <v>1756</v>
      </c>
      <c r="D37" s="121" t="s">
        <v>858</v>
      </c>
      <c r="E37" s="368">
        <v>3</v>
      </c>
      <c r="F37" s="369">
        <v>15.37</v>
      </c>
      <c r="G37" s="370">
        <v>60</v>
      </c>
      <c r="H37" s="474">
        <f>ROUND(2831*Belarus*(1-C59),2)</f>
        <v>2831</v>
      </c>
      <c r="I37" s="846">
        <f>ROUND(1687*Belarus*(1-C59),2)</f>
        <v>1687</v>
      </c>
      <c r="J37" s="846"/>
      <c r="K37" s="70"/>
    </row>
    <row r="38" spans="1:11">
      <c r="A38" s="847"/>
      <c r="B38" s="844"/>
      <c r="C38" s="367" t="s">
        <v>1757</v>
      </c>
      <c r="D38" s="121" t="s">
        <v>858</v>
      </c>
      <c r="E38" s="368">
        <v>3</v>
      </c>
      <c r="F38" s="369">
        <v>17.05</v>
      </c>
      <c r="G38" s="370">
        <v>60</v>
      </c>
      <c r="H38" s="474">
        <f>ROUND(3142*Belarus*(1-C59),2)</f>
        <v>3142</v>
      </c>
      <c r="I38" s="846">
        <f>ROUND(1812*Belarus*(1-C59),2)</f>
        <v>1812</v>
      </c>
      <c r="J38" s="846"/>
      <c r="K38" s="70"/>
    </row>
    <row r="39" spans="1:11">
      <c r="A39" s="847"/>
      <c r="B39" s="844"/>
      <c r="C39" s="367" t="s">
        <v>1758</v>
      </c>
      <c r="D39" s="121" t="s">
        <v>858</v>
      </c>
      <c r="E39" s="368">
        <v>4</v>
      </c>
      <c r="F39" s="369">
        <v>20.309999999999999</v>
      </c>
      <c r="G39" s="370">
        <v>60</v>
      </c>
      <c r="H39" s="474">
        <f>ROUND(3596*Belarus*(1-C59),2)</f>
        <v>3596</v>
      </c>
      <c r="I39" s="846">
        <f>ROUND(2016*Belarus*(1-C59),2)</f>
        <v>2016</v>
      </c>
      <c r="J39" s="846"/>
      <c r="K39" s="70"/>
    </row>
    <row r="40" spans="1:11">
      <c r="A40" s="847"/>
      <c r="B40" s="845"/>
      <c r="C40" s="367" t="s">
        <v>1763</v>
      </c>
      <c r="D40" s="121" t="s">
        <v>858</v>
      </c>
      <c r="E40" s="368">
        <v>4</v>
      </c>
      <c r="F40" s="369">
        <v>23.67</v>
      </c>
      <c r="G40" s="370">
        <v>60</v>
      </c>
      <c r="H40" s="474">
        <f>ROUND(4190*Belarus*(1-C59),2)</f>
        <v>4190</v>
      </c>
      <c r="I40" s="846">
        <f>ROUND(2351*Belarus*(1-C59),2)</f>
        <v>2351</v>
      </c>
      <c r="J40" s="846"/>
      <c r="K40" s="70"/>
    </row>
    <row r="41" spans="1:11" ht="21" customHeight="1">
      <c r="A41" s="842"/>
      <c r="B41" s="843" t="s">
        <v>1773</v>
      </c>
      <c r="C41" s="367" t="s">
        <v>1762</v>
      </c>
      <c r="D41" s="121" t="s">
        <v>859</v>
      </c>
      <c r="E41" s="368" t="s">
        <v>51</v>
      </c>
      <c r="F41" s="369">
        <v>14.31</v>
      </c>
      <c r="G41" s="370">
        <v>40</v>
      </c>
      <c r="H41" s="474">
        <f>ROUND(2488*Belarus*(1-C59),2)</f>
        <v>2488</v>
      </c>
      <c r="I41" s="846">
        <f>ROUND(1281*Belarus*(1-C59),2)</f>
        <v>1281</v>
      </c>
      <c r="J41" s="846"/>
      <c r="K41" s="70"/>
    </row>
    <row r="42" spans="1:11" ht="21" customHeight="1">
      <c r="A42" s="842"/>
      <c r="B42" s="844"/>
      <c r="C42" s="367" t="s">
        <v>1758</v>
      </c>
      <c r="D42" s="121" t="s">
        <v>859</v>
      </c>
      <c r="E42" s="368" t="s">
        <v>51</v>
      </c>
      <c r="F42" s="369">
        <v>26.14</v>
      </c>
      <c r="G42" s="370">
        <v>40</v>
      </c>
      <c r="H42" s="474">
        <f>ROUND(4202*Belarus*(1-C59),2)</f>
        <v>4202</v>
      </c>
      <c r="I42" s="846">
        <f>ROUND(2155*Belarus*(1-C59),2)</f>
        <v>2155</v>
      </c>
      <c r="J42" s="846"/>
      <c r="K42" s="70"/>
    </row>
    <row r="43" spans="1:11" ht="21" customHeight="1">
      <c r="A43" s="842"/>
      <c r="B43" s="845"/>
      <c r="C43" s="367" t="s">
        <v>1763</v>
      </c>
      <c r="D43" s="367" t="s">
        <v>859</v>
      </c>
      <c r="E43" s="368" t="s">
        <v>51</v>
      </c>
      <c r="F43" s="369">
        <v>30.87</v>
      </c>
      <c r="G43" s="370">
        <v>40</v>
      </c>
      <c r="H43" s="474">
        <f>ROUND(4962*Belarus*(1-C59),2)</f>
        <v>4962</v>
      </c>
      <c r="I43" s="846">
        <f>ROUND(2503*Belarus*(1-C59),2)</f>
        <v>2503</v>
      </c>
      <c r="J43" s="846"/>
      <c r="K43" s="70"/>
    </row>
    <row r="44" spans="1:11" ht="21" customHeight="1">
      <c r="A44" s="842"/>
      <c r="B44" s="843" t="s">
        <v>1774</v>
      </c>
      <c r="C44" s="367" t="s">
        <v>1762</v>
      </c>
      <c r="D44" s="367" t="s">
        <v>858</v>
      </c>
      <c r="E44" s="368" t="s">
        <v>51</v>
      </c>
      <c r="F44" s="369">
        <v>14.31</v>
      </c>
      <c r="G44" s="370">
        <v>40</v>
      </c>
      <c r="H44" s="474">
        <f>ROUND(2737*Belarus*(1-C59),2)</f>
        <v>2737</v>
      </c>
      <c r="I44" s="846">
        <f>ROUND(1458*Belarus*(1-C59),2)</f>
        <v>1458</v>
      </c>
      <c r="J44" s="846"/>
      <c r="K44" s="70"/>
    </row>
    <row r="45" spans="1:11" ht="55.5" customHeight="1">
      <c r="A45" s="842"/>
      <c r="B45" s="844"/>
      <c r="C45" s="367" t="s">
        <v>1758</v>
      </c>
      <c r="D45" s="121" t="s">
        <v>858</v>
      </c>
      <c r="E45" s="368" t="s">
        <v>51</v>
      </c>
      <c r="F45" s="369">
        <v>26.14</v>
      </c>
      <c r="G45" s="370">
        <v>40</v>
      </c>
      <c r="H45" s="474">
        <f>ROUND(4623*Belarus*(1-C59),2)</f>
        <v>4623</v>
      </c>
      <c r="I45" s="846">
        <f>ROUND(2450*Belarus*(1-C59),2)</f>
        <v>2450</v>
      </c>
      <c r="J45" s="846"/>
      <c r="K45" s="70"/>
    </row>
    <row r="46" spans="1:11">
      <c r="A46" s="666" t="s">
        <v>1775</v>
      </c>
      <c r="B46" s="666"/>
      <c r="C46" s="666"/>
      <c r="D46" s="666"/>
      <c r="E46" s="666"/>
      <c r="F46" s="666"/>
      <c r="G46" s="666"/>
      <c r="H46" s="666"/>
      <c r="I46" s="666"/>
      <c r="J46" s="666"/>
      <c r="K46" s="70"/>
    </row>
    <row r="47" spans="1:11">
      <c r="A47" s="636" t="s">
        <v>18</v>
      </c>
      <c r="B47" s="636"/>
      <c r="C47" s="636" t="s">
        <v>862</v>
      </c>
      <c r="D47" s="636"/>
      <c r="E47" s="636"/>
      <c r="F47" s="636"/>
      <c r="G47" s="636"/>
      <c r="H47" s="636"/>
      <c r="I47" s="677" t="s">
        <v>103</v>
      </c>
      <c r="J47" s="678"/>
      <c r="K47" s="70"/>
    </row>
    <row r="48" spans="1:11" ht="24.75" customHeight="1">
      <c r="A48" s="652" t="s">
        <v>863</v>
      </c>
      <c r="B48" s="652"/>
      <c r="C48" s="652" t="s">
        <v>1776</v>
      </c>
      <c r="D48" s="652"/>
      <c r="E48" s="652"/>
      <c r="F48" s="652"/>
      <c r="G48" s="652"/>
      <c r="H48" s="652"/>
      <c r="I48" s="834">
        <f>13990*Belarus</f>
        <v>13990</v>
      </c>
      <c r="J48" s="835"/>
      <c r="K48" s="70"/>
    </row>
    <row r="49" spans="1:11" ht="27.75" customHeight="1">
      <c r="A49" s="652" t="s">
        <v>1777</v>
      </c>
      <c r="B49" s="652"/>
      <c r="C49" s="652" t="s">
        <v>1778</v>
      </c>
      <c r="D49" s="652"/>
      <c r="E49" s="652"/>
      <c r="F49" s="652"/>
      <c r="G49" s="652"/>
      <c r="H49" s="652"/>
      <c r="I49" s="834">
        <f>14490*Belarus</f>
        <v>14490</v>
      </c>
      <c r="J49" s="835"/>
      <c r="K49" s="70"/>
    </row>
    <row r="50" spans="1:11">
      <c r="A50" s="652" t="s">
        <v>1779</v>
      </c>
      <c r="B50" s="652"/>
      <c r="C50" s="652" t="s">
        <v>1780</v>
      </c>
      <c r="D50" s="652"/>
      <c r="E50" s="652"/>
      <c r="F50" s="652"/>
      <c r="G50" s="652"/>
      <c r="H50" s="652"/>
      <c r="I50" s="834">
        <f>17790*Belarus</f>
        <v>17790</v>
      </c>
      <c r="J50" s="835"/>
      <c r="K50" s="8"/>
    </row>
    <row r="51" spans="1:11">
      <c r="A51" s="652" t="s">
        <v>1781</v>
      </c>
      <c r="B51" s="652"/>
      <c r="C51" s="652"/>
      <c r="D51" s="652"/>
      <c r="E51" s="652"/>
      <c r="F51" s="652"/>
      <c r="G51" s="652"/>
      <c r="H51" s="652"/>
      <c r="I51" s="834">
        <f>21990*Belarus</f>
        <v>21990</v>
      </c>
      <c r="J51" s="835"/>
      <c r="K51" s="8"/>
    </row>
    <row r="52" spans="1:11">
      <c r="A52" s="666" t="s">
        <v>1782</v>
      </c>
      <c r="B52" s="666"/>
      <c r="C52" s="666"/>
      <c r="D52" s="666"/>
      <c r="E52" s="666"/>
      <c r="F52" s="666"/>
      <c r="G52" s="666"/>
      <c r="H52" s="666"/>
      <c r="I52" s="666"/>
      <c r="J52" s="666"/>
      <c r="K52" s="8"/>
    </row>
    <row r="53" spans="1:11" ht="15.75" customHeight="1">
      <c r="A53" s="836" t="s">
        <v>1783</v>
      </c>
      <c r="B53" s="837"/>
      <c r="C53" s="837"/>
      <c r="D53" s="837"/>
      <c r="E53" s="837"/>
      <c r="F53" s="837"/>
      <c r="G53" s="837"/>
      <c r="H53" s="837"/>
      <c r="I53" s="837"/>
      <c r="J53" s="838"/>
      <c r="K53" s="8"/>
    </row>
    <row r="54" spans="1:11" ht="40.5" customHeight="1">
      <c r="A54" s="839" t="s">
        <v>2016</v>
      </c>
      <c r="B54" s="840"/>
      <c r="C54" s="840"/>
      <c r="D54" s="840"/>
      <c r="E54" s="840"/>
      <c r="F54" s="840"/>
      <c r="G54" s="840"/>
      <c r="H54" s="840"/>
      <c r="I54" s="840"/>
      <c r="J54" s="841"/>
      <c r="K54" s="8"/>
    </row>
    <row r="55" spans="1:11" ht="18" customHeight="1">
      <c r="A55" s="839" t="s">
        <v>1784</v>
      </c>
      <c r="B55" s="840"/>
      <c r="C55" s="840"/>
      <c r="D55" s="840"/>
      <c r="E55" s="840"/>
      <c r="F55" s="840"/>
      <c r="G55" s="840"/>
      <c r="H55" s="840"/>
      <c r="I55" s="840"/>
      <c r="J55" s="841"/>
      <c r="K55" s="8"/>
    </row>
    <row r="56" spans="1:11" ht="36.75" customHeight="1">
      <c r="A56" s="647" t="s">
        <v>1617</v>
      </c>
      <c r="B56" s="670"/>
      <c r="C56" s="670"/>
      <c r="D56" s="670"/>
      <c r="E56" s="670"/>
      <c r="F56" s="670"/>
      <c r="G56" s="670"/>
      <c r="H56" s="670"/>
      <c r="I56" s="670"/>
      <c r="J56" s="648"/>
      <c r="K56" s="8"/>
    </row>
    <row r="57" spans="1:11">
      <c r="A57" s="8"/>
      <c r="B57" s="8"/>
      <c r="C57" s="8"/>
      <c r="D57" s="8"/>
      <c r="E57" s="8"/>
      <c r="F57" s="8"/>
      <c r="G57" s="8"/>
      <c r="H57" s="8"/>
      <c r="I57" s="8"/>
      <c r="J57" s="8"/>
      <c r="K57" s="8"/>
    </row>
    <row r="58" spans="1:11">
      <c r="A58" s="8"/>
      <c r="B58" s="8"/>
      <c r="C58" s="8"/>
      <c r="D58" s="8"/>
      <c r="E58" s="8"/>
      <c r="F58" s="8"/>
      <c r="G58" s="8"/>
      <c r="H58" s="8"/>
      <c r="I58" s="8"/>
      <c r="J58" s="8"/>
      <c r="K58" s="8"/>
    </row>
    <row r="59" spans="1:11">
      <c r="A59" s="740" t="s">
        <v>854</v>
      </c>
      <c r="B59" s="740"/>
      <c r="C59" s="713">
        <v>0</v>
      </c>
      <c r="D59" s="372"/>
      <c r="E59" s="8"/>
      <c r="F59" s="8"/>
      <c r="G59" s="8"/>
      <c r="H59" s="8"/>
      <c r="I59" s="8"/>
      <c r="J59" s="8"/>
      <c r="K59" s="8"/>
    </row>
    <row r="60" spans="1:11">
      <c r="A60" s="740"/>
      <c r="B60" s="740"/>
      <c r="C60" s="714"/>
      <c r="D60" s="36"/>
      <c r="E60" s="8"/>
      <c r="F60" s="8"/>
      <c r="G60" s="8"/>
      <c r="H60" s="8"/>
      <c r="I60" s="8"/>
      <c r="J60" s="8"/>
    </row>
    <row r="61" spans="1:11" s="281" customFormat="1">
      <c r="A61" s="470"/>
      <c r="B61" s="470"/>
      <c r="C61" s="470"/>
      <c r="D61" s="470"/>
      <c r="E61" s="470"/>
      <c r="F61" s="470"/>
      <c r="G61" s="470"/>
      <c r="H61" s="470"/>
      <c r="I61" s="470"/>
      <c r="J61" s="470"/>
    </row>
    <row r="62" spans="1:11">
      <c r="A62" s="281" t="s">
        <v>2139</v>
      </c>
      <c r="B62" s="281"/>
      <c r="C62" s="281"/>
      <c r="D62" s="281"/>
      <c r="E62" s="281"/>
      <c r="F62" s="281"/>
      <c r="G62" s="281"/>
      <c r="H62" s="281"/>
      <c r="I62" s="281"/>
      <c r="J62" s="281"/>
    </row>
  </sheetData>
  <sheetProtection formatCells="0" formatColumns="0" formatRows="0" insertColumns="0" insertRows="0" insertHyperlinks="0" deleteColumns="0" deleteRows="0" sort="0" autoFilter="0" pivotTables="0"/>
  <mergeCells count="86">
    <mergeCell ref="A1:D1"/>
    <mergeCell ref="A2:F2"/>
    <mergeCell ref="A3:J3"/>
    <mergeCell ref="A4:J4"/>
    <mergeCell ref="A6:A7"/>
    <mergeCell ref="B6:B7"/>
    <mergeCell ref="C6:C7"/>
    <mergeCell ref="D6:D7"/>
    <mergeCell ref="E6:E7"/>
    <mergeCell ref="F6:F7"/>
    <mergeCell ref="G6:G7"/>
    <mergeCell ref="H6:H7"/>
    <mergeCell ref="I6:J6"/>
    <mergeCell ref="I7:J7"/>
    <mergeCell ref="A8:J8"/>
    <mergeCell ref="B12:B14"/>
    <mergeCell ref="I12:J12"/>
    <mergeCell ref="I13:J13"/>
    <mergeCell ref="I14:J14"/>
    <mergeCell ref="A15:J15"/>
    <mergeCell ref="A9:A14"/>
    <mergeCell ref="B9:B11"/>
    <mergeCell ref="I9:J9"/>
    <mergeCell ref="I10:J10"/>
    <mergeCell ref="I11:J11"/>
    <mergeCell ref="I20:J20"/>
    <mergeCell ref="I21:J21"/>
    <mergeCell ref="B22:B30"/>
    <mergeCell ref="I22:J22"/>
    <mergeCell ref="I23:J23"/>
    <mergeCell ref="I24:J24"/>
    <mergeCell ref="I25:J25"/>
    <mergeCell ref="I26:J26"/>
    <mergeCell ref="I27:J27"/>
    <mergeCell ref="B16:B21"/>
    <mergeCell ref="I16:J16"/>
    <mergeCell ref="I17:J17"/>
    <mergeCell ref="I18:J18"/>
    <mergeCell ref="I28:J28"/>
    <mergeCell ref="I29:J29"/>
    <mergeCell ref="I30:J30"/>
    <mergeCell ref="A31:A40"/>
    <mergeCell ref="B31:B36"/>
    <mergeCell ref="I31:J31"/>
    <mergeCell ref="I32:J32"/>
    <mergeCell ref="I33:J33"/>
    <mergeCell ref="I34:J34"/>
    <mergeCell ref="I35:J35"/>
    <mergeCell ref="A16:A30"/>
    <mergeCell ref="I36:J36"/>
    <mergeCell ref="B37:B40"/>
    <mergeCell ref="I37:J37"/>
    <mergeCell ref="I38:J38"/>
    <mergeCell ref="I39:J39"/>
    <mergeCell ref="I40:J40"/>
    <mergeCell ref="I19:J19"/>
    <mergeCell ref="A41:A45"/>
    <mergeCell ref="B41:B43"/>
    <mergeCell ref="I41:J41"/>
    <mergeCell ref="I42:J42"/>
    <mergeCell ref="I43:J43"/>
    <mergeCell ref="B44:B45"/>
    <mergeCell ref="I44:J44"/>
    <mergeCell ref="I45:J45"/>
    <mergeCell ref="A46:J46"/>
    <mergeCell ref="A47:B47"/>
    <mergeCell ref="C47:H47"/>
    <mergeCell ref="I47:J47"/>
    <mergeCell ref="A48:B48"/>
    <mergeCell ref="C48:H48"/>
    <mergeCell ref="I48:J48"/>
    <mergeCell ref="A59:B60"/>
    <mergeCell ref="C59:C60"/>
    <mergeCell ref="A49:B49"/>
    <mergeCell ref="C49:H49"/>
    <mergeCell ref="I49:J49"/>
    <mergeCell ref="A50:B50"/>
    <mergeCell ref="C50:H51"/>
    <mergeCell ref="I50:J50"/>
    <mergeCell ref="A51:B51"/>
    <mergeCell ref="I51:J51"/>
    <mergeCell ref="A52:J52"/>
    <mergeCell ref="A53:J53"/>
    <mergeCell ref="A54:J54"/>
    <mergeCell ref="A55:J55"/>
    <mergeCell ref="A56:J5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2"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5.xml><?xml version="1.0" encoding="utf-8"?>
<worksheet xmlns="http://schemas.openxmlformats.org/spreadsheetml/2006/main" xmlns:r="http://schemas.openxmlformats.org/officeDocument/2006/relationships">
  <sheetPr>
    <tabColor rgb="FF99CC00"/>
    <pageSetUpPr fitToPage="1"/>
  </sheetPr>
  <dimension ref="A1:S59"/>
  <sheetViews>
    <sheetView zoomScale="75" zoomScaleNormal="75" zoomScaleSheetLayoutView="75" workbookViewId="0">
      <selection sqref="A1:D1"/>
    </sheetView>
  </sheetViews>
  <sheetFormatPr defaultRowHeight="15"/>
  <cols>
    <col min="1" max="1" width="24" style="470" customWidth="1"/>
    <col min="2" max="2" width="30.28515625" style="470" customWidth="1"/>
    <col min="3" max="3" width="25" style="470" customWidth="1"/>
    <col min="4" max="4" width="11.42578125" style="470" customWidth="1"/>
    <col min="5" max="5" width="26" style="470" customWidth="1"/>
    <col min="6" max="6" width="12" style="470" customWidth="1"/>
    <col min="7" max="7" width="8.28515625" style="470" customWidth="1"/>
    <col min="8" max="9" width="11.140625" style="470" customWidth="1"/>
    <col min="10" max="10" width="2.7109375" style="470" customWidth="1"/>
    <col min="11" max="11" width="25.28515625" style="470" customWidth="1"/>
    <col min="12" max="12" width="20.5703125" style="470" customWidth="1"/>
    <col min="13" max="13" width="21.85546875" style="470" customWidth="1"/>
    <col min="14" max="14" width="15.42578125" style="470" customWidth="1"/>
    <col min="15" max="15" width="26.5703125" style="470" customWidth="1"/>
    <col min="16" max="16" width="11.7109375" style="470" customWidth="1"/>
    <col min="17" max="17" width="12.7109375" style="470" customWidth="1"/>
    <col min="18" max="18" width="16.42578125" style="470" customWidth="1"/>
    <col min="19" max="19" width="13.42578125" style="328" customWidth="1"/>
    <col min="20" max="16384" width="9.140625" style="470"/>
  </cols>
  <sheetData>
    <row r="1" spans="1:19">
      <c r="A1" s="597" t="s">
        <v>19</v>
      </c>
      <c r="B1" s="597"/>
      <c r="C1" s="597"/>
      <c r="D1" s="597"/>
      <c r="E1" s="8"/>
      <c r="F1" s="8"/>
      <c r="G1" s="8"/>
      <c r="H1" s="8"/>
      <c r="I1" s="8"/>
      <c r="J1" s="8"/>
      <c r="K1" s="8"/>
      <c r="L1" s="8"/>
      <c r="M1" s="8"/>
      <c r="N1" s="8"/>
      <c r="O1" s="8"/>
      <c r="P1" s="8"/>
      <c r="Q1" s="8"/>
      <c r="R1" s="8"/>
      <c r="S1" s="8"/>
    </row>
    <row r="2" spans="1:19" ht="24.75" customHeight="1" thickBot="1">
      <c r="A2" s="615" t="s">
        <v>1689</v>
      </c>
      <c r="B2" s="615"/>
      <c r="C2" s="615"/>
      <c r="D2" s="615"/>
      <c r="E2" s="615"/>
      <c r="F2" s="615"/>
      <c r="G2" s="615"/>
      <c r="H2" s="615"/>
      <c r="I2" s="615"/>
      <c r="J2" s="615"/>
      <c r="K2" s="615"/>
      <c r="L2" s="615"/>
      <c r="M2" s="615"/>
      <c r="N2" s="615"/>
      <c r="O2" s="615"/>
      <c r="P2" s="110"/>
      <c r="Q2" s="110"/>
      <c r="R2" s="80" t="s">
        <v>20</v>
      </c>
      <c r="S2" s="104">
        <v>43920</v>
      </c>
    </row>
    <row r="3" spans="1:19" ht="15.75" customHeight="1">
      <c r="A3" s="931" t="s">
        <v>1514</v>
      </c>
      <c r="B3" s="931"/>
      <c r="C3" s="931"/>
      <c r="D3" s="931"/>
      <c r="E3" s="931"/>
      <c r="F3" s="931"/>
      <c r="G3" s="931"/>
      <c r="H3" s="931"/>
      <c r="I3" s="931"/>
      <c r="J3" s="931"/>
      <c r="K3" s="931"/>
      <c r="L3" s="931"/>
      <c r="M3" s="931"/>
      <c r="N3" s="931"/>
      <c r="O3" s="931"/>
      <c r="P3" s="931"/>
      <c r="Q3" s="931"/>
      <c r="R3" s="931"/>
      <c r="S3" s="931"/>
    </row>
    <row r="4" spans="1:19" ht="15.75" customHeight="1">
      <c r="A4" s="859"/>
      <c r="B4" s="859"/>
      <c r="C4" s="859"/>
      <c r="D4" s="859"/>
      <c r="E4" s="859"/>
      <c r="F4" s="859"/>
      <c r="G4" s="859"/>
      <c r="H4" s="859"/>
      <c r="I4" s="859"/>
      <c r="J4" s="859"/>
      <c r="K4" s="859"/>
      <c r="L4" s="859"/>
      <c r="M4" s="859"/>
      <c r="N4" s="859"/>
      <c r="O4" s="859"/>
      <c r="P4" s="859"/>
      <c r="Q4" s="859"/>
      <c r="R4" s="859"/>
      <c r="S4" s="859"/>
    </row>
    <row r="5" spans="1:19" s="124" customFormat="1" ht="15.75" customHeight="1">
      <c r="A5" s="116"/>
      <c r="B5" s="116"/>
      <c r="C5" s="116"/>
      <c r="D5" s="116"/>
      <c r="E5" s="116"/>
      <c r="F5" s="116"/>
      <c r="G5" s="116"/>
      <c r="H5" s="116"/>
      <c r="I5" s="116"/>
      <c r="J5" s="122"/>
      <c r="K5" s="116"/>
      <c r="L5" s="116"/>
      <c r="M5" s="116"/>
      <c r="N5" s="116"/>
      <c r="O5" s="116"/>
      <c r="P5" s="116"/>
      <c r="Q5" s="116"/>
      <c r="R5" s="123" t="s">
        <v>849</v>
      </c>
      <c r="S5" s="95">
        <v>43920</v>
      </c>
    </row>
    <row r="6" spans="1:19" ht="51" customHeight="1">
      <c r="A6" s="125" t="s">
        <v>855</v>
      </c>
      <c r="B6" s="927" t="s">
        <v>18</v>
      </c>
      <c r="C6" s="927"/>
      <c r="D6" s="125" t="s">
        <v>864</v>
      </c>
      <c r="E6" s="125" t="s">
        <v>865</v>
      </c>
      <c r="F6" s="125" t="s">
        <v>866</v>
      </c>
      <c r="G6" s="125" t="s">
        <v>867</v>
      </c>
      <c r="H6" s="126" t="s">
        <v>857</v>
      </c>
      <c r="I6" s="127" t="s">
        <v>868</v>
      </c>
      <c r="J6" s="1"/>
      <c r="K6" s="125" t="s">
        <v>855</v>
      </c>
      <c r="L6" s="932" t="s">
        <v>18</v>
      </c>
      <c r="M6" s="933"/>
      <c r="N6" s="125" t="s">
        <v>864</v>
      </c>
      <c r="O6" s="125" t="s">
        <v>865</v>
      </c>
      <c r="P6" s="125" t="s">
        <v>866</v>
      </c>
      <c r="Q6" s="125" t="s">
        <v>867</v>
      </c>
      <c r="R6" s="126" t="s">
        <v>857</v>
      </c>
      <c r="S6" s="127" t="s">
        <v>868</v>
      </c>
    </row>
    <row r="7" spans="1:19">
      <c r="A7" s="927" t="s">
        <v>869</v>
      </c>
      <c r="B7" s="927"/>
      <c r="C7" s="927"/>
      <c r="D7" s="927"/>
      <c r="E7" s="927"/>
      <c r="F7" s="927"/>
      <c r="G7" s="927"/>
      <c r="H7" s="927"/>
      <c r="I7" s="927"/>
      <c r="J7" s="1"/>
      <c r="K7" s="932" t="s">
        <v>870</v>
      </c>
      <c r="L7" s="934"/>
      <c r="M7" s="934"/>
      <c r="N7" s="934"/>
      <c r="O7" s="934"/>
      <c r="P7" s="934"/>
      <c r="Q7" s="934"/>
      <c r="R7" s="934"/>
      <c r="S7" s="933"/>
    </row>
    <row r="8" spans="1:19" s="120" customFormat="1" ht="41.25" customHeight="1">
      <c r="A8" s="935"/>
      <c r="B8" s="129" t="s">
        <v>871</v>
      </c>
      <c r="C8" s="119" t="s">
        <v>872</v>
      </c>
      <c r="D8" s="130">
        <v>2.5</v>
      </c>
      <c r="E8" s="131" t="s">
        <v>858</v>
      </c>
      <c r="F8" s="131" t="s">
        <v>51</v>
      </c>
      <c r="G8" s="132">
        <v>4.1500000000000004</v>
      </c>
      <c r="H8" s="133">
        <v>140</v>
      </c>
      <c r="I8" s="480">
        <f>ROUND(714*Belarus*(1-C57),2)</f>
        <v>714</v>
      </c>
      <c r="J8" s="134"/>
      <c r="K8" s="135"/>
      <c r="L8" s="897" t="s">
        <v>873</v>
      </c>
      <c r="M8" s="897"/>
      <c r="N8" s="136">
        <v>0.55000000000000004</v>
      </c>
      <c r="O8" s="136" t="s">
        <v>858</v>
      </c>
      <c r="P8" s="136" t="s">
        <v>51</v>
      </c>
      <c r="Q8" s="131">
        <v>1.25</v>
      </c>
      <c r="R8" s="133">
        <v>16</v>
      </c>
      <c r="S8" s="474">
        <f>ROUND(716*Belarus*(1-C57),2)</f>
        <v>716</v>
      </c>
    </row>
    <row r="9" spans="1:19" s="120" customFormat="1" ht="16.5" customHeight="1">
      <c r="A9" s="935"/>
      <c r="B9" s="918" t="s">
        <v>874</v>
      </c>
      <c r="C9" s="849" t="s">
        <v>875</v>
      </c>
      <c r="D9" s="131">
        <v>2</v>
      </c>
      <c r="E9" s="131" t="s">
        <v>858</v>
      </c>
      <c r="F9" s="131" t="s">
        <v>51</v>
      </c>
      <c r="G9" s="132">
        <v>3.56</v>
      </c>
      <c r="H9" s="924" t="s">
        <v>1660</v>
      </c>
      <c r="I9" s="480">
        <f>ROUND(659*Belarus*(1-C57),2)</f>
        <v>659</v>
      </c>
      <c r="J9" s="134"/>
      <c r="K9" s="936"/>
      <c r="L9" s="897" t="s">
        <v>876</v>
      </c>
      <c r="M9" s="897"/>
      <c r="N9" s="912">
        <v>0.55000000000000004</v>
      </c>
      <c r="O9" s="912" t="s">
        <v>877</v>
      </c>
      <c r="P9" s="912" t="s">
        <v>51</v>
      </c>
      <c r="Q9" s="930">
        <v>1.97</v>
      </c>
      <c r="R9" s="921">
        <v>16</v>
      </c>
      <c r="S9" s="752">
        <f>ROUND(891*Belarus*(1-C57),2)</f>
        <v>891</v>
      </c>
    </row>
    <row r="10" spans="1:19" s="120" customFormat="1" ht="15" customHeight="1">
      <c r="A10" s="935"/>
      <c r="B10" s="919"/>
      <c r="C10" s="850"/>
      <c r="D10" s="131">
        <v>2.5</v>
      </c>
      <c r="E10" s="131" t="s">
        <v>858</v>
      </c>
      <c r="F10" s="471" t="s">
        <v>51</v>
      </c>
      <c r="G10" s="137">
        <v>4.45</v>
      </c>
      <c r="H10" s="925"/>
      <c r="I10" s="474">
        <f>ROUND(824*Belarus*(1-C57),2)</f>
        <v>824</v>
      </c>
      <c r="J10" s="134"/>
      <c r="K10" s="936"/>
      <c r="L10" s="897"/>
      <c r="M10" s="897"/>
      <c r="N10" s="912"/>
      <c r="O10" s="912"/>
      <c r="P10" s="912"/>
      <c r="Q10" s="930"/>
      <c r="R10" s="921"/>
      <c r="S10" s="752"/>
    </row>
    <row r="11" spans="1:19" s="120" customFormat="1">
      <c r="A11" s="935"/>
      <c r="B11" s="919"/>
      <c r="C11" s="851"/>
      <c r="D11" s="131">
        <v>3</v>
      </c>
      <c r="E11" s="131" t="s">
        <v>858</v>
      </c>
      <c r="F11" s="471" t="s">
        <v>51</v>
      </c>
      <c r="G11" s="137">
        <v>5.34</v>
      </c>
      <c r="H11" s="925"/>
      <c r="I11" s="474">
        <f>ROUND(988*Belarus*(1-C57),2)</f>
        <v>988</v>
      </c>
      <c r="J11" s="134"/>
      <c r="K11" s="936"/>
      <c r="L11" s="897"/>
      <c r="M11" s="897"/>
      <c r="N11" s="912"/>
      <c r="O11" s="912"/>
      <c r="P11" s="912"/>
      <c r="Q11" s="930"/>
      <c r="R11" s="921"/>
      <c r="S11" s="752"/>
    </row>
    <row r="12" spans="1:19" s="120" customFormat="1">
      <c r="A12" s="935"/>
      <c r="B12" s="919"/>
      <c r="C12" s="849" t="s">
        <v>1698</v>
      </c>
      <c r="D12" s="131">
        <v>2.5</v>
      </c>
      <c r="E12" s="131" t="s">
        <v>858</v>
      </c>
      <c r="F12" s="137">
        <v>5</v>
      </c>
      <c r="G12" s="137">
        <v>5.21</v>
      </c>
      <c r="H12" s="925"/>
      <c r="I12" s="474">
        <f>ROUND(1032*Belarus*(1-C57),2)</f>
        <v>1032</v>
      </c>
      <c r="J12" s="134"/>
      <c r="K12" s="900"/>
      <c r="L12" s="897" t="s">
        <v>878</v>
      </c>
      <c r="M12" s="897"/>
      <c r="N12" s="912">
        <v>0.55000000000000004</v>
      </c>
      <c r="O12" s="912" t="s">
        <v>877</v>
      </c>
      <c r="P12" s="912" t="s">
        <v>51</v>
      </c>
      <c r="Q12" s="930">
        <v>1.08</v>
      </c>
      <c r="R12" s="921">
        <v>20</v>
      </c>
      <c r="S12" s="752">
        <f>ROUND(418*Belarus*(1-C57),2)</f>
        <v>418</v>
      </c>
    </row>
    <row r="13" spans="1:19" s="120" customFormat="1" ht="24.75" customHeight="1">
      <c r="A13" s="935"/>
      <c r="B13" s="920"/>
      <c r="C13" s="851"/>
      <c r="D13" s="131">
        <v>3</v>
      </c>
      <c r="E13" s="131" t="s">
        <v>858</v>
      </c>
      <c r="F13" s="137">
        <v>5</v>
      </c>
      <c r="G13" s="137">
        <v>6.24</v>
      </c>
      <c r="H13" s="926"/>
      <c r="I13" s="474">
        <f>ROUND(1236*Belarus*(1-C57),2)</f>
        <v>1236</v>
      </c>
      <c r="J13" s="134"/>
      <c r="K13" s="900"/>
      <c r="L13" s="897"/>
      <c r="M13" s="897"/>
      <c r="N13" s="912"/>
      <c r="O13" s="912"/>
      <c r="P13" s="912"/>
      <c r="Q13" s="930"/>
      <c r="R13" s="921"/>
      <c r="S13" s="752"/>
    </row>
    <row r="14" spans="1:19" s="120" customFormat="1" ht="51">
      <c r="A14" s="128"/>
      <c r="B14" s="928" t="s">
        <v>879</v>
      </c>
      <c r="C14" s="929"/>
      <c r="D14" s="136" t="s">
        <v>51</v>
      </c>
      <c r="E14" s="136" t="s">
        <v>880</v>
      </c>
      <c r="F14" s="136" t="s">
        <v>51</v>
      </c>
      <c r="G14" s="131">
        <v>7.0000000000000007E-2</v>
      </c>
      <c r="H14" s="133">
        <v>300</v>
      </c>
      <c r="I14" s="474">
        <f>ROUND(37*Belarus*(1-C57),2)</f>
        <v>37</v>
      </c>
      <c r="J14" s="134"/>
      <c r="K14" s="135"/>
      <c r="L14" s="897" t="s">
        <v>883</v>
      </c>
      <c r="M14" s="897"/>
      <c r="N14" s="136">
        <v>0.5</v>
      </c>
      <c r="O14" s="136" t="s">
        <v>858</v>
      </c>
      <c r="P14" s="136" t="s">
        <v>51</v>
      </c>
      <c r="Q14" s="131">
        <v>1.08</v>
      </c>
      <c r="R14" s="133" t="s">
        <v>884</v>
      </c>
      <c r="S14" s="474">
        <f>ROUND(343*Belarus*(1-C57),2)</f>
        <v>343</v>
      </c>
    </row>
    <row r="15" spans="1:19" s="120" customFormat="1" ht="42" customHeight="1">
      <c r="A15" s="119"/>
      <c r="B15" s="893" t="s">
        <v>881</v>
      </c>
      <c r="C15" s="894"/>
      <c r="D15" s="136" t="s">
        <v>51</v>
      </c>
      <c r="E15" s="136" t="s">
        <v>882</v>
      </c>
      <c r="F15" s="137" t="s">
        <v>51</v>
      </c>
      <c r="G15" s="131">
        <v>0.05</v>
      </c>
      <c r="H15" s="133">
        <v>100</v>
      </c>
      <c r="I15" s="474">
        <f>ROUND(45*Belarus*(1-C57),2)</f>
        <v>45</v>
      </c>
      <c r="J15" s="134"/>
      <c r="K15" s="135"/>
      <c r="L15" s="897" t="s">
        <v>887</v>
      </c>
      <c r="M15" s="897"/>
      <c r="N15" s="136">
        <v>0.5</v>
      </c>
      <c r="O15" s="136" t="s">
        <v>858</v>
      </c>
      <c r="P15" s="136" t="s">
        <v>51</v>
      </c>
      <c r="Q15" s="131">
        <v>1.9</v>
      </c>
      <c r="R15" s="133" t="s">
        <v>884</v>
      </c>
      <c r="S15" s="474">
        <f>ROUND(683*Belarus*(1-C57),2)</f>
        <v>683</v>
      </c>
    </row>
    <row r="16" spans="1:19" s="120" customFormat="1" ht="48.75" customHeight="1">
      <c r="A16" s="136"/>
      <c r="B16" s="893" t="s">
        <v>885</v>
      </c>
      <c r="C16" s="894"/>
      <c r="D16" s="138" t="s">
        <v>886</v>
      </c>
      <c r="E16" s="138" t="s">
        <v>858</v>
      </c>
      <c r="F16" s="138" t="s">
        <v>51</v>
      </c>
      <c r="G16" s="132">
        <v>0.1</v>
      </c>
      <c r="H16" s="133">
        <v>100</v>
      </c>
      <c r="I16" s="480">
        <f>ROUND(54*Belarus*(1-C57),2)</f>
        <v>54</v>
      </c>
      <c r="J16" s="134"/>
      <c r="K16" s="900"/>
      <c r="L16" s="897" t="s">
        <v>1923</v>
      </c>
      <c r="M16" s="897"/>
      <c r="N16" s="912" t="s">
        <v>1924</v>
      </c>
      <c r="O16" s="912" t="s">
        <v>882</v>
      </c>
      <c r="P16" s="912" t="s">
        <v>51</v>
      </c>
      <c r="Q16" s="913">
        <v>4</v>
      </c>
      <c r="R16" s="921" t="s">
        <v>884</v>
      </c>
      <c r="S16" s="752">
        <f>ROUND(3009*Belarus*(1-C57),2)</f>
        <v>3009</v>
      </c>
    </row>
    <row r="17" spans="1:19" s="120" customFormat="1" ht="37.5" customHeight="1">
      <c r="A17" s="139"/>
      <c r="B17" s="893" t="s">
        <v>888</v>
      </c>
      <c r="C17" s="894"/>
      <c r="D17" s="138" t="s">
        <v>889</v>
      </c>
      <c r="E17" s="138" t="s">
        <v>858</v>
      </c>
      <c r="F17" s="138" t="s">
        <v>51</v>
      </c>
      <c r="G17" s="132">
        <v>0.1</v>
      </c>
      <c r="H17" s="133">
        <v>100</v>
      </c>
      <c r="I17" s="480">
        <f>ROUND(54*Belarus*(1-C57),2)</f>
        <v>54</v>
      </c>
      <c r="J17" s="134"/>
      <c r="K17" s="900"/>
      <c r="L17" s="897"/>
      <c r="M17" s="897"/>
      <c r="N17" s="912"/>
      <c r="O17" s="912"/>
      <c r="P17" s="912"/>
      <c r="Q17" s="913"/>
      <c r="R17" s="921"/>
      <c r="S17" s="752"/>
    </row>
    <row r="18" spans="1:19" s="120" customFormat="1">
      <c r="A18" s="927" t="s">
        <v>870</v>
      </c>
      <c r="B18" s="927"/>
      <c r="C18" s="927"/>
      <c r="D18" s="927"/>
      <c r="E18" s="927"/>
      <c r="F18" s="927"/>
      <c r="G18" s="927"/>
      <c r="H18" s="927"/>
      <c r="I18" s="927"/>
      <c r="J18" s="134"/>
      <c r="K18" s="900"/>
      <c r="L18" s="897" t="s">
        <v>1706</v>
      </c>
      <c r="M18" s="897"/>
      <c r="N18" s="912" t="s">
        <v>51</v>
      </c>
      <c r="O18" s="912" t="s">
        <v>859</v>
      </c>
      <c r="P18" s="912" t="s">
        <v>51</v>
      </c>
      <c r="Q18" s="913">
        <v>2E-3</v>
      </c>
      <c r="R18" s="921">
        <v>2000</v>
      </c>
      <c r="S18" s="752">
        <f>ROUND(16*Belarus*(1-C57),2)</f>
        <v>16</v>
      </c>
    </row>
    <row r="19" spans="1:19" s="120" customFormat="1">
      <c r="A19" s="849"/>
      <c r="B19" s="849" t="s">
        <v>890</v>
      </c>
      <c r="C19" s="849" t="s">
        <v>891</v>
      </c>
      <c r="D19" s="131">
        <v>2.5</v>
      </c>
      <c r="E19" s="131" t="s">
        <v>859</v>
      </c>
      <c r="F19" s="136" t="s">
        <v>51</v>
      </c>
      <c r="G19" s="131">
        <v>6.78</v>
      </c>
      <c r="H19" s="924">
        <v>96</v>
      </c>
      <c r="I19" s="474">
        <f>ROUND(683*Belarus*(1-C57),2)</f>
        <v>683</v>
      </c>
      <c r="J19" s="134"/>
      <c r="K19" s="900"/>
      <c r="L19" s="897"/>
      <c r="M19" s="897"/>
      <c r="N19" s="912"/>
      <c r="O19" s="912"/>
      <c r="P19" s="912"/>
      <c r="Q19" s="913"/>
      <c r="R19" s="921"/>
      <c r="S19" s="752"/>
    </row>
    <row r="20" spans="1:19" s="124" customFormat="1" ht="18.75" customHeight="1">
      <c r="A20" s="850"/>
      <c r="B20" s="850"/>
      <c r="C20" s="850"/>
      <c r="D20" s="131">
        <v>2.5</v>
      </c>
      <c r="E20" s="131" t="s">
        <v>859</v>
      </c>
      <c r="F20" s="136">
        <v>5</v>
      </c>
      <c r="G20" s="131">
        <v>6.78</v>
      </c>
      <c r="H20" s="925"/>
      <c r="I20" s="474">
        <f>ROUND(895*Belarus*(1-C57),2)</f>
        <v>895</v>
      </c>
      <c r="J20" s="74"/>
      <c r="K20" s="900"/>
      <c r="L20" s="897"/>
      <c r="M20" s="897"/>
      <c r="N20" s="912"/>
      <c r="O20" s="912"/>
      <c r="P20" s="912"/>
      <c r="Q20" s="913"/>
      <c r="R20" s="921"/>
      <c r="S20" s="752"/>
    </row>
    <row r="21" spans="1:19" s="124" customFormat="1" ht="18.75" customHeight="1">
      <c r="A21" s="850"/>
      <c r="B21" s="850"/>
      <c r="C21" s="850"/>
      <c r="D21" s="140">
        <v>3</v>
      </c>
      <c r="E21" s="140" t="s">
        <v>859</v>
      </c>
      <c r="F21" s="141" t="s">
        <v>51</v>
      </c>
      <c r="G21" s="131">
        <v>8.1300000000000008</v>
      </c>
      <c r="H21" s="925"/>
      <c r="I21" s="474">
        <f>ROUND(819*Belarus*(1-C57),2)</f>
        <v>819</v>
      </c>
      <c r="J21" s="74"/>
      <c r="K21" s="900"/>
      <c r="L21" s="869" t="s">
        <v>893</v>
      </c>
      <c r="M21" s="870"/>
      <c r="N21" s="912" t="s">
        <v>51</v>
      </c>
      <c r="O21" s="912" t="s">
        <v>894</v>
      </c>
      <c r="P21" s="912" t="s">
        <v>51</v>
      </c>
      <c r="Q21" s="913">
        <v>0.05</v>
      </c>
      <c r="R21" s="921">
        <v>200</v>
      </c>
      <c r="S21" s="752">
        <f>ROUND(21*Belarus*(1-C57),2)</f>
        <v>21</v>
      </c>
    </row>
    <row r="22" spans="1:19" s="124" customFormat="1" ht="18.75" customHeight="1">
      <c r="A22" s="850"/>
      <c r="B22" s="851"/>
      <c r="C22" s="851"/>
      <c r="D22" s="140">
        <v>3</v>
      </c>
      <c r="E22" s="140" t="s">
        <v>859</v>
      </c>
      <c r="F22" s="141">
        <v>5</v>
      </c>
      <c r="G22" s="131">
        <v>8.1300000000000008</v>
      </c>
      <c r="H22" s="925"/>
      <c r="I22" s="474">
        <f>ROUND(1074*Belarus*(1-C57),2)</f>
        <v>1074</v>
      </c>
      <c r="J22" s="74"/>
      <c r="K22" s="900"/>
      <c r="L22" s="915"/>
      <c r="M22" s="916"/>
      <c r="N22" s="912"/>
      <c r="O22" s="912"/>
      <c r="P22" s="912"/>
      <c r="Q22" s="913"/>
      <c r="R22" s="921"/>
      <c r="S22" s="752"/>
    </row>
    <row r="23" spans="1:19" ht="20.25" customHeight="1">
      <c r="A23" s="850"/>
      <c r="B23" s="918" t="s">
        <v>892</v>
      </c>
      <c r="C23" s="847" t="s">
        <v>891</v>
      </c>
      <c r="D23" s="131">
        <v>1.5</v>
      </c>
      <c r="E23" s="131" t="s">
        <v>858</v>
      </c>
      <c r="F23" s="136">
        <v>2</v>
      </c>
      <c r="G23" s="131">
        <v>4.07</v>
      </c>
      <c r="H23" s="925"/>
      <c r="I23" s="474">
        <f>ROUND(793*Belarus*(1-C57),2)</f>
        <v>793</v>
      </c>
      <c r="J23" s="74"/>
      <c r="K23" s="900"/>
      <c r="L23" s="915"/>
      <c r="M23" s="916"/>
      <c r="N23" s="912"/>
      <c r="O23" s="912"/>
      <c r="P23" s="912"/>
      <c r="Q23" s="913"/>
      <c r="R23" s="921"/>
      <c r="S23" s="752"/>
    </row>
    <row r="24" spans="1:19" ht="40.5" customHeight="1">
      <c r="A24" s="850"/>
      <c r="B24" s="919"/>
      <c r="C24" s="847"/>
      <c r="D24" s="131">
        <v>2.5</v>
      </c>
      <c r="E24" s="138" t="s">
        <v>2081</v>
      </c>
      <c r="F24" s="136" t="s">
        <v>51</v>
      </c>
      <c r="G24" s="131">
        <v>6.78</v>
      </c>
      <c r="H24" s="925"/>
      <c r="I24" s="474">
        <f>ROUND(1183*Belarus*(1-C57),2)</f>
        <v>1183</v>
      </c>
      <c r="J24" s="74"/>
      <c r="K24" s="900"/>
      <c r="L24" s="871"/>
      <c r="M24" s="872"/>
      <c r="N24" s="912"/>
      <c r="O24" s="912"/>
      <c r="P24" s="912"/>
      <c r="Q24" s="913"/>
      <c r="R24" s="921"/>
      <c r="S24" s="752"/>
    </row>
    <row r="25" spans="1:19" ht="18.75" customHeight="1">
      <c r="A25" s="850"/>
      <c r="B25" s="919"/>
      <c r="C25" s="847"/>
      <c r="D25" s="131">
        <v>2.5</v>
      </c>
      <c r="E25" s="138" t="s">
        <v>895</v>
      </c>
      <c r="F25" s="136">
        <v>5</v>
      </c>
      <c r="G25" s="131">
        <v>6.78</v>
      </c>
      <c r="H25" s="925"/>
      <c r="I25" s="474">
        <f>ROUND(1213*Belarus*(1-C57),2)</f>
        <v>1213</v>
      </c>
      <c r="J25" s="74"/>
      <c r="K25" s="350"/>
      <c r="L25" s="893" t="s">
        <v>1707</v>
      </c>
      <c r="M25" s="894"/>
      <c r="N25" s="136" t="s">
        <v>51</v>
      </c>
      <c r="O25" s="136" t="s">
        <v>1152</v>
      </c>
      <c r="P25" s="136" t="s">
        <v>51</v>
      </c>
      <c r="Q25" s="351">
        <v>2E-3</v>
      </c>
      <c r="R25" s="133" t="s">
        <v>884</v>
      </c>
      <c r="S25" s="474">
        <f>ROUND(13*Belarus*(1-C57),2)</f>
        <v>13</v>
      </c>
    </row>
    <row r="26" spans="1:19" ht="30" customHeight="1">
      <c r="A26" s="850"/>
      <c r="B26" s="919"/>
      <c r="C26" s="847"/>
      <c r="D26" s="131">
        <v>2.5</v>
      </c>
      <c r="E26" s="138" t="s">
        <v>858</v>
      </c>
      <c r="F26" s="136">
        <v>5</v>
      </c>
      <c r="G26" s="131">
        <v>6.78</v>
      </c>
      <c r="H26" s="925"/>
      <c r="I26" s="474">
        <f>ROUND(1213*Belarus*(1-C57),2)</f>
        <v>1213</v>
      </c>
      <c r="J26" s="74"/>
      <c r="K26" s="900"/>
      <c r="L26" s="869" t="s">
        <v>896</v>
      </c>
      <c r="M26" s="870"/>
      <c r="N26" s="912" t="s">
        <v>51</v>
      </c>
      <c r="O26" s="912" t="s">
        <v>897</v>
      </c>
      <c r="P26" s="912" t="s">
        <v>51</v>
      </c>
      <c r="Q26" s="913">
        <v>0.72</v>
      </c>
      <c r="R26" s="921">
        <v>2</v>
      </c>
      <c r="S26" s="752">
        <f>ROUND(542*Belarus*(1-C57),2)</f>
        <v>542</v>
      </c>
    </row>
    <row r="27" spans="1:19" ht="78.75" customHeight="1">
      <c r="A27" s="850"/>
      <c r="B27" s="919"/>
      <c r="C27" s="847"/>
      <c r="D27" s="131">
        <v>3</v>
      </c>
      <c r="E27" s="138" t="s">
        <v>2082</v>
      </c>
      <c r="F27" s="136" t="s">
        <v>51</v>
      </c>
      <c r="G27" s="131">
        <v>8.1300000000000008</v>
      </c>
      <c r="H27" s="925"/>
      <c r="I27" s="474">
        <f>ROUND(1426*Belarus*(1-C57),2)</f>
        <v>1426</v>
      </c>
      <c r="J27" s="74"/>
      <c r="K27" s="900"/>
      <c r="L27" s="871"/>
      <c r="M27" s="872"/>
      <c r="N27" s="912"/>
      <c r="O27" s="912"/>
      <c r="P27" s="912"/>
      <c r="Q27" s="913"/>
      <c r="R27" s="921"/>
      <c r="S27" s="752"/>
    </row>
    <row r="28" spans="1:19" ht="37.5" customHeight="1">
      <c r="A28" s="850"/>
      <c r="B28" s="919"/>
      <c r="C28" s="847"/>
      <c r="D28" s="131">
        <v>3</v>
      </c>
      <c r="E28" s="138" t="s">
        <v>861</v>
      </c>
      <c r="F28" s="136">
        <v>5</v>
      </c>
      <c r="G28" s="131">
        <v>8.1300000000000008</v>
      </c>
      <c r="H28" s="926"/>
      <c r="I28" s="474">
        <f>ROUND(1456*Belarus*(1-C57),2)</f>
        <v>1456</v>
      </c>
      <c r="J28" s="74"/>
      <c r="K28" s="135"/>
      <c r="L28" s="893" t="s">
        <v>899</v>
      </c>
      <c r="M28" s="894"/>
      <c r="N28" s="136" t="s">
        <v>51</v>
      </c>
      <c r="O28" s="136" t="s">
        <v>859</v>
      </c>
      <c r="P28" s="136" t="s">
        <v>51</v>
      </c>
      <c r="Q28" s="130">
        <v>0.11</v>
      </c>
      <c r="R28" s="133" t="s">
        <v>884</v>
      </c>
      <c r="S28" s="474">
        <f>ROUND(35*Belarus*(1-C57),2)</f>
        <v>35</v>
      </c>
    </row>
    <row r="29" spans="1:19" ht="24.75" customHeight="1">
      <c r="A29" s="850"/>
      <c r="B29" s="919"/>
      <c r="C29" s="847" t="s">
        <v>898</v>
      </c>
      <c r="D29" s="131">
        <v>4</v>
      </c>
      <c r="E29" s="131" t="s">
        <v>858</v>
      </c>
      <c r="F29" s="136">
        <v>6</v>
      </c>
      <c r="G29" s="131">
        <v>15.52</v>
      </c>
      <c r="H29" s="863">
        <v>64</v>
      </c>
      <c r="I29" s="474">
        <f>ROUND(2779*Belarus*(1-C57),2)</f>
        <v>2779</v>
      </c>
      <c r="J29" s="74"/>
      <c r="K29" s="875"/>
      <c r="L29" s="922" t="s">
        <v>1529</v>
      </c>
      <c r="M29" s="922"/>
      <c r="N29" s="136">
        <v>1.2</v>
      </c>
      <c r="O29" s="873" t="s">
        <v>859</v>
      </c>
      <c r="P29" s="875" t="s">
        <v>51</v>
      </c>
      <c r="Q29" s="138">
        <v>5.5</v>
      </c>
      <c r="R29" s="863" t="s">
        <v>902</v>
      </c>
      <c r="S29" s="474">
        <f>ROUND(2198*Belarus*(1-C57),2)</f>
        <v>2198</v>
      </c>
    </row>
    <row r="30" spans="1:19" ht="33.75" customHeight="1">
      <c r="A30" s="851"/>
      <c r="B30" s="920"/>
      <c r="C30" s="847"/>
      <c r="D30" s="131">
        <v>5</v>
      </c>
      <c r="E30" s="131" t="s">
        <v>858</v>
      </c>
      <c r="F30" s="136">
        <v>8</v>
      </c>
      <c r="G30" s="131">
        <v>19.399999999999999</v>
      </c>
      <c r="H30" s="864"/>
      <c r="I30" s="474">
        <f>ROUND(3473*Belarus*(1-C57),2)</f>
        <v>3473</v>
      </c>
      <c r="J30" s="74"/>
      <c r="K30" s="917"/>
      <c r="L30" s="922"/>
      <c r="M30" s="922"/>
      <c r="N30" s="136">
        <v>1.5</v>
      </c>
      <c r="O30" s="923"/>
      <c r="P30" s="917"/>
      <c r="Q30" s="138">
        <v>8.65</v>
      </c>
      <c r="R30" s="898"/>
      <c r="S30" s="474">
        <f>ROUND(2285*Belarus*(1-C57),2)</f>
        <v>2285</v>
      </c>
    </row>
    <row r="31" spans="1:19" ht="36.75" customHeight="1">
      <c r="A31" s="849"/>
      <c r="B31" s="918" t="s">
        <v>900</v>
      </c>
      <c r="C31" s="912" t="s">
        <v>901</v>
      </c>
      <c r="D31" s="873" t="s">
        <v>51</v>
      </c>
      <c r="E31" s="913" t="s">
        <v>858</v>
      </c>
      <c r="F31" s="913" t="s">
        <v>51</v>
      </c>
      <c r="G31" s="890">
        <v>0.05</v>
      </c>
      <c r="H31" s="863">
        <v>100</v>
      </c>
      <c r="I31" s="865">
        <f>ROUND(58*Belarus*(1-C57),2)</f>
        <v>58</v>
      </c>
      <c r="J31" s="74"/>
      <c r="K31" s="876"/>
      <c r="L31" s="922" t="s">
        <v>1708</v>
      </c>
      <c r="M31" s="922"/>
      <c r="N31" s="136">
        <v>1.5</v>
      </c>
      <c r="O31" s="874"/>
      <c r="P31" s="876"/>
      <c r="Q31" s="138">
        <v>10</v>
      </c>
      <c r="R31" s="864"/>
      <c r="S31" s="474">
        <f>ROUND(4410*Belarus*(1-C57),2)</f>
        <v>4410</v>
      </c>
    </row>
    <row r="32" spans="1:19" ht="32.25" customHeight="1">
      <c r="A32" s="850"/>
      <c r="B32" s="919"/>
      <c r="C32" s="912"/>
      <c r="D32" s="874"/>
      <c r="E32" s="913"/>
      <c r="F32" s="913"/>
      <c r="G32" s="891"/>
      <c r="H32" s="898"/>
      <c r="I32" s="899"/>
      <c r="J32" s="74"/>
      <c r="K32" s="875"/>
      <c r="L32" s="901" t="s">
        <v>905</v>
      </c>
      <c r="M32" s="902"/>
      <c r="N32" s="912" t="s">
        <v>51</v>
      </c>
      <c r="O32" s="913" t="s">
        <v>859</v>
      </c>
      <c r="P32" s="912" t="s">
        <v>51</v>
      </c>
      <c r="Q32" s="913">
        <v>0.12</v>
      </c>
      <c r="R32" s="921" t="s">
        <v>884</v>
      </c>
      <c r="S32" s="752">
        <f>ROUND(35*Belarus*(1-C57),2)</f>
        <v>35</v>
      </c>
    </row>
    <row r="33" spans="1:19" ht="30.75" customHeight="1">
      <c r="A33" s="850"/>
      <c r="B33" s="919"/>
      <c r="C33" s="875" t="s">
        <v>903</v>
      </c>
      <c r="D33" s="873" t="s">
        <v>51</v>
      </c>
      <c r="E33" s="873" t="s">
        <v>904</v>
      </c>
      <c r="F33" s="873" t="s">
        <v>51</v>
      </c>
      <c r="G33" s="891"/>
      <c r="H33" s="898"/>
      <c r="I33" s="899"/>
      <c r="J33" s="74"/>
      <c r="K33" s="876"/>
      <c r="L33" s="903"/>
      <c r="M33" s="904"/>
      <c r="N33" s="912"/>
      <c r="O33" s="913"/>
      <c r="P33" s="912"/>
      <c r="Q33" s="913"/>
      <c r="R33" s="921"/>
      <c r="S33" s="752"/>
    </row>
    <row r="34" spans="1:19" ht="51.75" customHeight="1">
      <c r="A34" s="850"/>
      <c r="B34" s="919"/>
      <c r="C34" s="876"/>
      <c r="D34" s="874"/>
      <c r="E34" s="874"/>
      <c r="F34" s="874"/>
      <c r="G34" s="891"/>
      <c r="H34" s="898"/>
      <c r="I34" s="899"/>
      <c r="J34" s="74"/>
      <c r="K34" s="875"/>
      <c r="L34" s="901" t="s">
        <v>906</v>
      </c>
      <c r="M34" s="902"/>
      <c r="N34" s="912" t="s">
        <v>51</v>
      </c>
      <c r="O34" s="913" t="s">
        <v>859</v>
      </c>
      <c r="P34" s="912" t="s">
        <v>51</v>
      </c>
      <c r="Q34" s="913">
        <v>9.6</v>
      </c>
      <c r="R34" s="921" t="s">
        <v>902</v>
      </c>
      <c r="S34" s="752">
        <f>ROUND(6163*Belarus*(1-C57),2)</f>
        <v>6163</v>
      </c>
    </row>
    <row r="35" spans="1:19" ht="28.5" customHeight="1">
      <c r="A35" s="850"/>
      <c r="B35" s="919"/>
      <c r="C35" s="912" t="s">
        <v>907</v>
      </c>
      <c r="D35" s="913" t="s">
        <v>51</v>
      </c>
      <c r="E35" s="913" t="s">
        <v>2140</v>
      </c>
      <c r="F35" s="913" t="s">
        <v>51</v>
      </c>
      <c r="G35" s="891"/>
      <c r="H35" s="898"/>
      <c r="I35" s="899"/>
      <c r="J35" s="74"/>
      <c r="K35" s="876"/>
      <c r="L35" s="903"/>
      <c r="M35" s="904"/>
      <c r="N35" s="912"/>
      <c r="O35" s="913"/>
      <c r="P35" s="912"/>
      <c r="Q35" s="913"/>
      <c r="R35" s="921"/>
      <c r="S35" s="752"/>
    </row>
    <row r="36" spans="1:19" ht="15" customHeight="1">
      <c r="A36" s="850"/>
      <c r="B36" s="919"/>
      <c r="C36" s="912"/>
      <c r="D36" s="913"/>
      <c r="E36" s="913"/>
      <c r="F36" s="913"/>
      <c r="G36" s="891"/>
      <c r="H36" s="898"/>
      <c r="I36" s="899"/>
      <c r="J36" s="74"/>
      <c r="K36" s="911"/>
      <c r="L36" s="893" t="s">
        <v>908</v>
      </c>
      <c r="M36" s="894"/>
      <c r="N36" s="900" t="s">
        <v>909</v>
      </c>
      <c r="O36" s="900"/>
      <c r="P36" s="900"/>
      <c r="Q36" s="138">
        <v>8.5</v>
      </c>
      <c r="R36" s="143" t="s">
        <v>902</v>
      </c>
      <c r="S36" s="475">
        <f>ROUND(1733*Belarus*(1-C57),2)</f>
        <v>1733</v>
      </c>
    </row>
    <row r="37" spans="1:19" ht="25.5" customHeight="1">
      <c r="A37" s="851"/>
      <c r="B37" s="920"/>
      <c r="C37" s="136" t="s">
        <v>912</v>
      </c>
      <c r="D37" s="138" t="s">
        <v>51</v>
      </c>
      <c r="E37" s="138" t="s">
        <v>858</v>
      </c>
      <c r="F37" s="138" t="s">
        <v>51</v>
      </c>
      <c r="G37" s="892"/>
      <c r="H37" s="864"/>
      <c r="I37" s="866"/>
      <c r="J37" s="74"/>
      <c r="K37" s="911"/>
      <c r="L37" s="893" t="s">
        <v>910</v>
      </c>
      <c r="M37" s="894"/>
      <c r="N37" s="900" t="s">
        <v>911</v>
      </c>
      <c r="O37" s="900"/>
      <c r="P37" s="900"/>
      <c r="Q37" s="138">
        <v>9.6</v>
      </c>
      <c r="R37" s="143" t="s">
        <v>902</v>
      </c>
      <c r="S37" s="475">
        <f>ROUND(2740*Belarus*(1-C57),2)</f>
        <v>2740</v>
      </c>
    </row>
    <row r="38" spans="1:19" ht="24.75" customHeight="1">
      <c r="A38" s="879"/>
      <c r="B38" s="869" t="s">
        <v>918</v>
      </c>
      <c r="C38" s="870"/>
      <c r="D38" s="875" t="s">
        <v>51</v>
      </c>
      <c r="E38" s="875" t="s">
        <v>858</v>
      </c>
      <c r="F38" s="875" t="s">
        <v>51</v>
      </c>
      <c r="G38" s="890">
        <v>0.08</v>
      </c>
      <c r="H38" s="863">
        <v>300</v>
      </c>
      <c r="I38" s="865">
        <f>ROUND(58*Belarus*(1-C57),2)</f>
        <v>58</v>
      </c>
      <c r="J38" s="74"/>
      <c r="K38" s="911"/>
      <c r="L38" s="893" t="s">
        <v>913</v>
      </c>
      <c r="M38" s="894"/>
      <c r="N38" s="900" t="s">
        <v>911</v>
      </c>
      <c r="O38" s="900"/>
      <c r="P38" s="900"/>
      <c r="Q38" s="138">
        <v>6.3</v>
      </c>
      <c r="R38" s="143" t="s">
        <v>902</v>
      </c>
      <c r="S38" s="475">
        <f>ROUND(876*Belarus*(1-C57),2)</f>
        <v>876</v>
      </c>
    </row>
    <row r="39" spans="1:19" ht="43.5" customHeight="1">
      <c r="A39" s="914"/>
      <c r="B39" s="915"/>
      <c r="C39" s="916"/>
      <c r="D39" s="917"/>
      <c r="E39" s="917"/>
      <c r="F39" s="917"/>
      <c r="G39" s="891"/>
      <c r="H39" s="898"/>
      <c r="I39" s="899"/>
      <c r="J39" s="74"/>
      <c r="K39" s="875"/>
      <c r="L39" s="901" t="s">
        <v>914</v>
      </c>
      <c r="M39" s="902"/>
      <c r="N39" s="905" t="s">
        <v>915</v>
      </c>
      <c r="O39" s="906"/>
      <c r="P39" s="907"/>
      <c r="Q39" s="873" t="s">
        <v>916</v>
      </c>
      <c r="R39" s="863" t="s">
        <v>917</v>
      </c>
      <c r="S39" s="865">
        <f>ROUND(328*Belarus*(1-C57),2)</f>
        <v>328</v>
      </c>
    </row>
    <row r="40" spans="1:19" ht="26.25" customHeight="1">
      <c r="A40" s="880"/>
      <c r="B40" s="871"/>
      <c r="C40" s="872"/>
      <c r="D40" s="876"/>
      <c r="E40" s="876"/>
      <c r="F40" s="876"/>
      <c r="G40" s="892"/>
      <c r="H40" s="864"/>
      <c r="I40" s="866"/>
      <c r="J40" s="74"/>
      <c r="K40" s="876"/>
      <c r="L40" s="903"/>
      <c r="M40" s="904"/>
      <c r="N40" s="908"/>
      <c r="O40" s="909"/>
      <c r="P40" s="910"/>
      <c r="Q40" s="874"/>
      <c r="R40" s="864"/>
      <c r="S40" s="866"/>
    </row>
    <row r="41" spans="1:19" ht="50.25" customHeight="1">
      <c r="A41" s="136"/>
      <c r="B41" s="893" t="s">
        <v>1694</v>
      </c>
      <c r="C41" s="894"/>
      <c r="D41" s="141"/>
      <c r="E41" s="141" t="s">
        <v>858</v>
      </c>
      <c r="F41" s="141" t="s">
        <v>51</v>
      </c>
      <c r="G41" s="140">
        <v>0.1</v>
      </c>
      <c r="H41" s="142">
        <v>100</v>
      </c>
      <c r="I41" s="481">
        <f>ROUND(100*Belarus*(1-C57),2)</f>
        <v>100</v>
      </c>
      <c r="J41" s="74"/>
      <c r="K41" s="136"/>
      <c r="L41" s="895" t="s">
        <v>919</v>
      </c>
      <c r="M41" s="896"/>
      <c r="N41" s="136" t="s">
        <v>920</v>
      </c>
      <c r="O41" s="138" t="s">
        <v>51</v>
      </c>
      <c r="P41" s="136" t="s">
        <v>51</v>
      </c>
      <c r="Q41" s="138">
        <v>2</v>
      </c>
      <c r="R41" s="133" t="s">
        <v>917</v>
      </c>
      <c r="S41" s="474">
        <f>27765*Belarus</f>
        <v>27765</v>
      </c>
    </row>
    <row r="42" spans="1:19" ht="45" customHeight="1">
      <c r="A42" s="128"/>
      <c r="B42" s="897" t="s">
        <v>921</v>
      </c>
      <c r="C42" s="897"/>
      <c r="D42" s="136" t="s">
        <v>51</v>
      </c>
      <c r="E42" s="136" t="s">
        <v>858</v>
      </c>
      <c r="F42" s="136" t="s">
        <v>51</v>
      </c>
      <c r="G42" s="131">
        <v>0.11</v>
      </c>
      <c r="H42" s="133">
        <v>240</v>
      </c>
      <c r="I42" s="474">
        <f>ROUND(248*Belarus*(1-C57),2)</f>
        <v>248</v>
      </c>
      <c r="J42" s="74"/>
    </row>
    <row r="43" spans="1:19" ht="27.75" customHeight="1">
      <c r="A43" s="879"/>
      <c r="B43" s="869" t="s">
        <v>923</v>
      </c>
      <c r="C43" s="870"/>
      <c r="D43" s="875" t="s">
        <v>924</v>
      </c>
      <c r="E43" s="875" t="s">
        <v>858</v>
      </c>
      <c r="F43" s="875" t="s">
        <v>51</v>
      </c>
      <c r="G43" s="881">
        <v>0.1</v>
      </c>
      <c r="H43" s="863">
        <v>100</v>
      </c>
      <c r="I43" s="865">
        <f>ROUND(100*Belarus*(1-C57),2)</f>
        <v>100</v>
      </c>
      <c r="J43" s="74"/>
      <c r="K43" s="887" t="s">
        <v>70</v>
      </c>
      <c r="L43" s="888"/>
      <c r="M43" s="888"/>
      <c r="N43" s="888"/>
      <c r="O43" s="888"/>
      <c r="P43" s="888"/>
      <c r="Q43" s="888"/>
      <c r="R43" s="888"/>
      <c r="S43" s="889"/>
    </row>
    <row r="44" spans="1:19" ht="39.75" customHeight="1">
      <c r="A44" s="880"/>
      <c r="B44" s="871"/>
      <c r="C44" s="872"/>
      <c r="D44" s="876"/>
      <c r="E44" s="876"/>
      <c r="F44" s="876"/>
      <c r="G44" s="882"/>
      <c r="H44" s="864"/>
      <c r="I44" s="866"/>
      <c r="J44" s="74"/>
      <c r="K44" s="620" t="s">
        <v>2017</v>
      </c>
      <c r="L44" s="704"/>
      <c r="M44" s="704"/>
      <c r="N44" s="704"/>
      <c r="O44" s="704"/>
      <c r="P44" s="704"/>
      <c r="Q44" s="704"/>
      <c r="R44" s="704"/>
      <c r="S44" s="621"/>
    </row>
    <row r="45" spans="1:19" ht="33.75" customHeight="1">
      <c r="A45" s="879"/>
      <c r="B45" s="869" t="s">
        <v>925</v>
      </c>
      <c r="C45" s="870"/>
      <c r="D45" s="875" t="s">
        <v>924</v>
      </c>
      <c r="E45" s="875" t="s">
        <v>858</v>
      </c>
      <c r="F45" s="875" t="s">
        <v>51</v>
      </c>
      <c r="G45" s="881">
        <v>0.1</v>
      </c>
      <c r="H45" s="863">
        <v>100</v>
      </c>
      <c r="I45" s="865">
        <f>ROUND(100*Belarus*(1-C57),2)</f>
        <v>100</v>
      </c>
      <c r="J45" s="74"/>
      <c r="K45" s="494" t="s">
        <v>2018</v>
      </c>
      <c r="L45" s="495"/>
      <c r="M45" s="495"/>
      <c r="N45" s="495"/>
      <c r="O45" s="495"/>
      <c r="P45" s="495"/>
      <c r="Q45" s="495"/>
      <c r="R45" s="495"/>
      <c r="S45" s="496"/>
    </row>
    <row r="46" spans="1:19">
      <c r="A46" s="880"/>
      <c r="B46" s="871"/>
      <c r="C46" s="872"/>
      <c r="D46" s="876"/>
      <c r="E46" s="876"/>
      <c r="F46" s="876"/>
      <c r="G46" s="882"/>
      <c r="H46" s="864"/>
      <c r="I46" s="866"/>
      <c r="J46" s="74"/>
      <c r="K46" s="634" t="s">
        <v>851</v>
      </c>
      <c r="L46" s="634"/>
      <c r="M46" s="634"/>
      <c r="N46" s="634"/>
      <c r="O46" s="634"/>
      <c r="P46" s="634"/>
      <c r="Q46" s="634"/>
      <c r="R46" s="634"/>
      <c r="S46" s="634"/>
    </row>
    <row r="47" spans="1:19">
      <c r="A47" s="879"/>
      <c r="B47" s="869" t="s">
        <v>926</v>
      </c>
      <c r="C47" s="870"/>
      <c r="D47" s="875" t="s">
        <v>924</v>
      </c>
      <c r="E47" s="875" t="s">
        <v>858</v>
      </c>
      <c r="F47" s="875" t="s">
        <v>51</v>
      </c>
      <c r="G47" s="881">
        <v>0.1</v>
      </c>
      <c r="H47" s="863">
        <v>100</v>
      </c>
      <c r="I47" s="865">
        <f>ROUND(100*Belarus*(1-C57),2)</f>
        <v>100</v>
      </c>
      <c r="J47" s="74"/>
      <c r="K47" s="647" t="s">
        <v>1617</v>
      </c>
      <c r="L47" s="670"/>
      <c r="M47" s="670"/>
      <c r="N47" s="670"/>
      <c r="O47" s="670"/>
      <c r="P47" s="670"/>
      <c r="Q47" s="670"/>
      <c r="R47" s="670"/>
      <c r="S47" s="648"/>
    </row>
    <row r="48" spans="1:19" ht="29.25" customHeight="1">
      <c r="A48" s="880"/>
      <c r="B48" s="871"/>
      <c r="C48" s="872"/>
      <c r="D48" s="876"/>
      <c r="E48" s="876"/>
      <c r="F48" s="876"/>
      <c r="G48" s="882"/>
      <c r="H48" s="864"/>
      <c r="I48" s="866"/>
      <c r="J48" s="74"/>
    </row>
    <row r="49" spans="1:10" ht="30.75" customHeight="1">
      <c r="A49" s="867"/>
      <c r="B49" s="869" t="s">
        <v>927</v>
      </c>
      <c r="C49" s="870"/>
      <c r="D49" s="873" t="s">
        <v>51</v>
      </c>
      <c r="E49" s="875" t="s">
        <v>928</v>
      </c>
      <c r="F49" s="875" t="s">
        <v>51</v>
      </c>
      <c r="G49" s="877">
        <v>8.0000000000000002E-3</v>
      </c>
      <c r="H49" s="863">
        <v>1500</v>
      </c>
      <c r="I49" s="865">
        <f>ROUND(45*Belarus*(1-C57),2)</f>
        <v>45</v>
      </c>
      <c r="J49" s="74"/>
    </row>
    <row r="50" spans="1:10">
      <c r="A50" s="868"/>
      <c r="B50" s="871"/>
      <c r="C50" s="872"/>
      <c r="D50" s="874"/>
      <c r="E50" s="876"/>
      <c r="F50" s="876"/>
      <c r="G50" s="878"/>
      <c r="H50" s="864"/>
      <c r="I50" s="866"/>
      <c r="J50" s="74"/>
    </row>
    <row r="51" spans="1:10">
      <c r="A51" s="634" t="s">
        <v>929</v>
      </c>
      <c r="B51" s="634"/>
      <c r="C51" s="634"/>
      <c r="D51" s="634"/>
      <c r="E51" s="634"/>
      <c r="F51" s="634"/>
      <c r="G51" s="634"/>
      <c r="H51" s="634"/>
      <c r="I51" s="634"/>
      <c r="J51" s="74"/>
    </row>
    <row r="52" spans="1:10" ht="33.75" customHeight="1">
      <c r="A52" s="883" t="s">
        <v>1699</v>
      </c>
      <c r="B52" s="883"/>
      <c r="C52" s="883"/>
      <c r="D52" s="883"/>
      <c r="E52" s="883"/>
      <c r="F52" s="883"/>
      <c r="G52" s="883"/>
      <c r="H52" s="883"/>
      <c r="I52" s="883"/>
      <c r="J52" s="74"/>
    </row>
    <row r="53" spans="1:10" ht="29.25" customHeight="1">
      <c r="A53" s="1"/>
      <c r="B53" s="1"/>
      <c r="C53" s="1"/>
      <c r="D53" s="1"/>
      <c r="E53" s="1"/>
      <c r="F53" s="1"/>
      <c r="G53" s="74"/>
      <c r="H53" s="74"/>
      <c r="I53" s="1"/>
      <c r="J53" s="74"/>
    </row>
    <row r="54" spans="1:10" ht="27.75" customHeight="1">
      <c r="A54" s="1"/>
      <c r="B54" s="1"/>
      <c r="C54" s="1"/>
      <c r="D54" s="1"/>
      <c r="E54" s="1"/>
      <c r="F54" s="1"/>
      <c r="G54" s="74"/>
      <c r="H54" s="74"/>
      <c r="I54" s="1"/>
      <c r="J54" s="1"/>
    </row>
    <row r="55" spans="1:10">
      <c r="A55" s="884" t="s">
        <v>854</v>
      </c>
      <c r="B55" s="885"/>
      <c r="C55" s="885"/>
      <c r="D55" s="1"/>
      <c r="E55" s="1"/>
      <c r="F55" s="1"/>
      <c r="G55" s="74"/>
      <c r="H55" s="74"/>
      <c r="I55" s="1"/>
      <c r="J55" s="1"/>
    </row>
    <row r="56" spans="1:10">
      <c r="A56" s="738"/>
      <c r="B56" s="886"/>
      <c r="C56" s="886"/>
      <c r="D56" s="1"/>
      <c r="E56" s="1"/>
      <c r="F56" s="1"/>
      <c r="G56" s="74"/>
      <c r="H56" s="74"/>
      <c r="I56" s="1"/>
      <c r="J56" s="1"/>
    </row>
    <row r="57" spans="1:10">
      <c r="A57" s="862" t="s">
        <v>1452</v>
      </c>
      <c r="B57" s="862"/>
      <c r="C57" s="153">
        <v>0</v>
      </c>
      <c r="J57" s="1"/>
    </row>
    <row r="58" spans="1:10">
      <c r="J58" s="1"/>
    </row>
    <row r="59" spans="1:10">
      <c r="A59" s="281" t="s">
        <v>2139</v>
      </c>
    </row>
  </sheetData>
  <sheetProtection selectLockedCells="1" selectUnlockedCells="1"/>
  <mergeCells count="182">
    <mergeCell ref="A1:D1"/>
    <mergeCell ref="A2:O2"/>
    <mergeCell ref="A3:S4"/>
    <mergeCell ref="B6:C6"/>
    <mergeCell ref="L6:M6"/>
    <mergeCell ref="A7:I7"/>
    <mergeCell ref="K7:S7"/>
    <mergeCell ref="A8:A13"/>
    <mergeCell ref="L8:M8"/>
    <mergeCell ref="B9:B13"/>
    <mergeCell ref="C9:C11"/>
    <mergeCell ref="H9:H13"/>
    <mergeCell ref="K9:K11"/>
    <mergeCell ref="L9:M11"/>
    <mergeCell ref="C12:C13"/>
    <mergeCell ref="K12:K13"/>
    <mergeCell ref="L12:M13"/>
    <mergeCell ref="N12:N13"/>
    <mergeCell ref="O12:O13"/>
    <mergeCell ref="P12:P13"/>
    <mergeCell ref="Q12:Q13"/>
    <mergeCell ref="R12:R13"/>
    <mergeCell ref="S12:S13"/>
    <mergeCell ref="N9:N11"/>
    <mergeCell ref="O9:O11"/>
    <mergeCell ref="P9:P11"/>
    <mergeCell ref="Q9:Q11"/>
    <mergeCell ref="R9:R11"/>
    <mergeCell ref="S9:S11"/>
    <mergeCell ref="N16:N17"/>
    <mergeCell ref="O16:O17"/>
    <mergeCell ref="P16:P17"/>
    <mergeCell ref="Q16:Q17"/>
    <mergeCell ref="R16:R17"/>
    <mergeCell ref="S16:S17"/>
    <mergeCell ref="B14:C14"/>
    <mergeCell ref="L14:M14"/>
    <mergeCell ref="B15:C15"/>
    <mergeCell ref="L15:M15"/>
    <mergeCell ref="B16:C16"/>
    <mergeCell ref="K16:K17"/>
    <mergeCell ref="L16:M17"/>
    <mergeCell ref="B17:C17"/>
    <mergeCell ref="B23:B30"/>
    <mergeCell ref="C23:C28"/>
    <mergeCell ref="L25:M25"/>
    <mergeCell ref="K26:K27"/>
    <mergeCell ref="L26:M27"/>
    <mergeCell ref="Q18:Q20"/>
    <mergeCell ref="R18:R20"/>
    <mergeCell ref="S18:S20"/>
    <mergeCell ref="A19:A30"/>
    <mergeCell ref="B19:B22"/>
    <mergeCell ref="C19:C22"/>
    <mergeCell ref="H19:H28"/>
    <mergeCell ref="K21:K24"/>
    <mergeCell ref="L21:M24"/>
    <mergeCell ref="N21:N24"/>
    <mergeCell ref="A18:I18"/>
    <mergeCell ref="K18:K20"/>
    <mergeCell ref="L18:M20"/>
    <mergeCell ref="N18:N20"/>
    <mergeCell ref="O18:O20"/>
    <mergeCell ref="P18:P20"/>
    <mergeCell ref="N26:N27"/>
    <mergeCell ref="O26:O27"/>
    <mergeCell ref="P26:P27"/>
    <mergeCell ref="Q26:Q27"/>
    <mergeCell ref="R26:R27"/>
    <mergeCell ref="S26:S27"/>
    <mergeCell ref="O21:O24"/>
    <mergeCell ref="P21:P24"/>
    <mergeCell ref="Q21:Q24"/>
    <mergeCell ref="R21:R24"/>
    <mergeCell ref="S21:S24"/>
    <mergeCell ref="L28:M28"/>
    <mergeCell ref="C29:C30"/>
    <mergeCell ref="H29:H30"/>
    <mergeCell ref="K29:K31"/>
    <mergeCell ref="L29:M30"/>
    <mergeCell ref="O29:O31"/>
    <mergeCell ref="I31:I37"/>
    <mergeCell ref="L31:M31"/>
    <mergeCell ref="K32:K33"/>
    <mergeCell ref="L32:M33"/>
    <mergeCell ref="S34:S35"/>
    <mergeCell ref="C33:C34"/>
    <mergeCell ref="D33:D34"/>
    <mergeCell ref="E33:E34"/>
    <mergeCell ref="F33:F34"/>
    <mergeCell ref="K34:K35"/>
    <mergeCell ref="F35:F36"/>
    <mergeCell ref="N32:N33"/>
    <mergeCell ref="O32:O33"/>
    <mergeCell ref="P32:P33"/>
    <mergeCell ref="Q32:Q33"/>
    <mergeCell ref="R32:R33"/>
    <mergeCell ref="H31:H37"/>
    <mergeCell ref="O34:O35"/>
    <mergeCell ref="P34:P35"/>
    <mergeCell ref="Q34:Q35"/>
    <mergeCell ref="R34:R35"/>
    <mergeCell ref="S32:S33"/>
    <mergeCell ref="P29:P31"/>
    <mergeCell ref="R29:R31"/>
    <mergeCell ref="N34:N35"/>
    <mergeCell ref="L34:M35"/>
    <mergeCell ref="A38:A40"/>
    <mergeCell ref="B38:C40"/>
    <mergeCell ref="D38:D40"/>
    <mergeCell ref="E38:E40"/>
    <mergeCell ref="F38:F40"/>
    <mergeCell ref="C35:C36"/>
    <mergeCell ref="D35:D36"/>
    <mergeCell ref="E35:E36"/>
    <mergeCell ref="A31:A37"/>
    <mergeCell ref="B31:B37"/>
    <mergeCell ref="G31:G37"/>
    <mergeCell ref="Q39:Q40"/>
    <mergeCell ref="R39:R40"/>
    <mergeCell ref="S39:S40"/>
    <mergeCell ref="B41:C41"/>
    <mergeCell ref="L41:M41"/>
    <mergeCell ref="B42:C42"/>
    <mergeCell ref="G38:G40"/>
    <mergeCell ref="H38:H40"/>
    <mergeCell ref="I38:I40"/>
    <mergeCell ref="L38:M38"/>
    <mergeCell ref="N38:P38"/>
    <mergeCell ref="K39:K40"/>
    <mergeCell ref="L39:M40"/>
    <mergeCell ref="N39:P40"/>
    <mergeCell ref="K36:K38"/>
    <mergeCell ref="L36:M36"/>
    <mergeCell ref="N36:P36"/>
    <mergeCell ref="L37:M37"/>
    <mergeCell ref="N37:P37"/>
    <mergeCell ref="C31:C32"/>
    <mergeCell ref="D31:D32"/>
    <mergeCell ref="E31:E32"/>
    <mergeCell ref="F31:F32"/>
    <mergeCell ref="H43:H44"/>
    <mergeCell ref="I43:I44"/>
    <mergeCell ref="K43:S43"/>
    <mergeCell ref="K44:S44"/>
    <mergeCell ref="A45:A46"/>
    <mergeCell ref="B45:C46"/>
    <mergeCell ref="D45:D46"/>
    <mergeCell ref="E45:E46"/>
    <mergeCell ref="F45:F46"/>
    <mergeCell ref="G45:G46"/>
    <mergeCell ref="A43:A44"/>
    <mergeCell ref="B43:C44"/>
    <mergeCell ref="D43:D44"/>
    <mergeCell ref="E43:E44"/>
    <mergeCell ref="F43:F44"/>
    <mergeCell ref="G43:G44"/>
    <mergeCell ref="H45:H46"/>
    <mergeCell ref="I45:I46"/>
    <mergeCell ref="K45:S45"/>
    <mergeCell ref="K46:S46"/>
    <mergeCell ref="A57:B57"/>
    <mergeCell ref="H47:H48"/>
    <mergeCell ref="I47:I48"/>
    <mergeCell ref="K47:S47"/>
    <mergeCell ref="A49:A50"/>
    <mergeCell ref="B49:C50"/>
    <mergeCell ref="D49:D50"/>
    <mergeCell ref="E49:E50"/>
    <mergeCell ref="F49:F50"/>
    <mergeCell ref="G49:G50"/>
    <mergeCell ref="H49:H50"/>
    <mergeCell ref="I49:I50"/>
    <mergeCell ref="A47:A48"/>
    <mergeCell ref="B47:C48"/>
    <mergeCell ref="D47:D48"/>
    <mergeCell ref="E47:E48"/>
    <mergeCell ref="F47:F48"/>
    <mergeCell ref="G47:G48"/>
    <mergeCell ref="A51:I51"/>
    <mergeCell ref="A52:I52"/>
    <mergeCell ref="A55:C5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8"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6.xml><?xml version="1.0" encoding="utf-8"?>
<worksheet xmlns="http://schemas.openxmlformats.org/spreadsheetml/2006/main" xmlns:r="http://schemas.openxmlformats.org/officeDocument/2006/relationships">
  <sheetPr>
    <tabColor indexed="50"/>
    <pageSetUpPr fitToPage="1"/>
  </sheetPr>
  <dimension ref="A1:AG53"/>
  <sheetViews>
    <sheetView zoomScale="75" zoomScaleNormal="75" zoomScaleSheetLayoutView="90" workbookViewId="0">
      <selection sqref="A1:D1"/>
    </sheetView>
  </sheetViews>
  <sheetFormatPr defaultRowHeight="15"/>
  <cols>
    <col min="1" max="1" width="20.28515625" style="470" customWidth="1"/>
    <col min="2" max="2" width="14.7109375" style="470" customWidth="1"/>
    <col min="3" max="3" width="13.42578125" style="470" customWidth="1"/>
    <col min="4" max="4" width="21.7109375" style="470" customWidth="1"/>
    <col min="5" max="5" width="10" style="470" customWidth="1"/>
    <col min="6" max="6" width="6.28515625" style="470" customWidth="1"/>
    <col min="7" max="7" width="5.42578125" style="470" customWidth="1"/>
    <col min="8" max="15" width="5" style="470" customWidth="1"/>
    <col min="16" max="16" width="2" style="470" customWidth="1"/>
    <col min="17" max="17" width="14" style="470" customWidth="1"/>
    <col min="18" max="18" width="15.42578125" style="470" customWidth="1"/>
    <col min="19" max="20" width="9.140625" style="470"/>
    <col min="21" max="22" width="16" style="470" customWidth="1"/>
    <col min="23" max="23" width="12.7109375" style="470" customWidth="1"/>
    <col min="24" max="25" width="18.140625" style="470" customWidth="1"/>
    <col min="26" max="26" width="0" style="470" hidden="1" customWidth="1"/>
    <col min="27" max="16384" width="9.140625" style="470"/>
  </cols>
  <sheetData>
    <row r="1" spans="1:33">
      <c r="A1" s="614" t="s">
        <v>19</v>
      </c>
      <c r="B1" s="614"/>
      <c r="C1" s="614"/>
      <c r="D1" s="614"/>
      <c r="E1" s="8"/>
      <c r="F1" s="8"/>
      <c r="G1" s="8"/>
      <c r="H1" s="8"/>
      <c r="I1" s="8"/>
      <c r="J1" s="8"/>
      <c r="K1" s="8"/>
      <c r="L1" s="8"/>
      <c r="M1" s="8"/>
      <c r="N1" s="8"/>
      <c r="O1" s="8"/>
      <c r="P1" s="8"/>
      <c r="Q1" s="8"/>
      <c r="R1" s="8"/>
      <c r="S1" s="8"/>
      <c r="T1" s="8"/>
      <c r="U1" s="8"/>
      <c r="V1" s="8"/>
      <c r="W1" s="8"/>
      <c r="X1" s="8"/>
      <c r="Y1" s="8"/>
    </row>
    <row r="2" spans="1:33" ht="17.25" customHeight="1" thickBot="1">
      <c r="A2" s="615" t="s">
        <v>1690</v>
      </c>
      <c r="B2" s="615"/>
      <c r="C2" s="615"/>
      <c r="D2" s="615"/>
      <c r="E2" s="615"/>
      <c r="F2" s="615"/>
      <c r="G2" s="615"/>
      <c r="H2" s="615"/>
      <c r="I2" s="615"/>
      <c r="J2" s="615"/>
      <c r="K2" s="615"/>
      <c r="L2" s="615"/>
      <c r="M2" s="615"/>
      <c r="N2" s="615"/>
      <c r="O2" s="615"/>
      <c r="P2" s="615"/>
      <c r="Q2" s="615"/>
      <c r="R2" s="615"/>
      <c r="S2" s="615"/>
      <c r="T2" s="615"/>
      <c r="U2" s="615"/>
      <c r="V2" s="615"/>
      <c r="W2" s="110"/>
      <c r="X2" s="80" t="s">
        <v>20</v>
      </c>
      <c r="Y2" s="104">
        <v>43920</v>
      </c>
    </row>
    <row r="3" spans="1:33" ht="33.75" customHeight="1">
      <c r="A3" s="859" t="s">
        <v>1514</v>
      </c>
      <c r="B3" s="859"/>
      <c r="C3" s="859"/>
      <c r="D3" s="859"/>
      <c r="E3" s="859"/>
      <c r="F3" s="859"/>
      <c r="G3" s="859"/>
      <c r="H3" s="859"/>
      <c r="I3" s="859"/>
      <c r="J3" s="859"/>
      <c r="K3" s="859"/>
      <c r="L3" s="859"/>
      <c r="M3" s="859"/>
      <c r="N3" s="859"/>
      <c r="O3" s="859"/>
      <c r="P3" s="859"/>
      <c r="Q3" s="859"/>
      <c r="R3" s="859"/>
      <c r="S3" s="859"/>
      <c r="T3" s="859"/>
      <c r="U3" s="859"/>
      <c r="V3" s="859"/>
      <c r="W3" s="859"/>
      <c r="X3" s="859"/>
      <c r="Y3" s="859"/>
    </row>
    <row r="4" spans="1:33" ht="13.5" customHeight="1">
      <c r="A4" s="1011"/>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row>
    <row r="5" spans="1:33" ht="13.5" customHeight="1">
      <c r="A5" s="122"/>
      <c r="B5" s="122"/>
      <c r="C5" s="122"/>
      <c r="D5" s="122"/>
      <c r="E5" s="122"/>
      <c r="F5" s="122"/>
      <c r="G5" s="122"/>
      <c r="H5" s="122"/>
      <c r="I5" s="122"/>
      <c r="J5" s="122"/>
      <c r="K5" s="122"/>
      <c r="L5" s="122"/>
      <c r="M5" s="122"/>
      <c r="N5" s="122"/>
      <c r="O5" s="122"/>
      <c r="P5" s="122"/>
      <c r="Q5" s="122"/>
      <c r="R5" s="122"/>
      <c r="S5" s="122"/>
      <c r="T5" s="122"/>
      <c r="U5" s="122"/>
      <c r="V5" s="122"/>
      <c r="W5" s="122"/>
      <c r="X5" s="144" t="s">
        <v>849</v>
      </c>
      <c r="Y5" s="145">
        <v>43920</v>
      </c>
    </row>
    <row r="6" spans="1:33" ht="72.75" customHeight="1">
      <c r="A6" s="674" t="s">
        <v>855</v>
      </c>
      <c r="B6" s="569" t="s">
        <v>18</v>
      </c>
      <c r="C6" s="569" t="s">
        <v>930</v>
      </c>
      <c r="D6" s="679" t="s">
        <v>931</v>
      </c>
      <c r="E6" s="680"/>
      <c r="F6" s="680"/>
      <c r="G6" s="680"/>
      <c r="H6" s="561" t="s">
        <v>932</v>
      </c>
      <c r="I6" s="562"/>
      <c r="J6" s="562"/>
      <c r="K6" s="562"/>
      <c r="L6" s="562"/>
      <c r="M6" s="562"/>
      <c r="N6" s="562"/>
      <c r="O6" s="563"/>
      <c r="P6" s="8"/>
      <c r="Q6" s="674" t="s">
        <v>855</v>
      </c>
      <c r="R6" s="569" t="s">
        <v>18</v>
      </c>
      <c r="S6" s="569" t="s">
        <v>930</v>
      </c>
      <c r="T6" s="679" t="s">
        <v>931</v>
      </c>
      <c r="U6" s="680"/>
      <c r="V6" s="680"/>
      <c r="W6" s="681"/>
      <c r="X6" s="569" t="s">
        <v>932</v>
      </c>
      <c r="Y6" s="569"/>
      <c r="AA6" s="405"/>
      <c r="AB6" s="124"/>
      <c r="AC6" s="124"/>
      <c r="AD6" s="124"/>
      <c r="AE6" s="124"/>
      <c r="AF6" s="124"/>
      <c r="AG6" s="124"/>
    </row>
    <row r="7" spans="1:33" ht="12.75" customHeight="1">
      <c r="A7" s="675"/>
      <c r="B7" s="569"/>
      <c r="C7" s="569"/>
      <c r="D7" s="715"/>
      <c r="E7" s="716"/>
      <c r="F7" s="716"/>
      <c r="G7" s="716"/>
      <c r="H7" s="999" t="s">
        <v>933</v>
      </c>
      <c r="I7" s="1000"/>
      <c r="J7" s="1000"/>
      <c r="K7" s="1000"/>
      <c r="L7" s="1000"/>
      <c r="M7" s="1000"/>
      <c r="N7" s="1000"/>
      <c r="O7" s="1001"/>
      <c r="P7" s="8"/>
      <c r="Q7" s="675"/>
      <c r="R7" s="569"/>
      <c r="S7" s="569"/>
      <c r="T7" s="715"/>
      <c r="U7" s="716"/>
      <c r="V7" s="716"/>
      <c r="W7" s="717"/>
      <c r="X7" s="569" t="s">
        <v>933</v>
      </c>
      <c r="Y7" s="569"/>
      <c r="AA7" s="124"/>
      <c r="AB7" s="124"/>
      <c r="AC7" s="124"/>
      <c r="AD7" s="124"/>
      <c r="AE7" s="124"/>
      <c r="AF7" s="124"/>
      <c r="AG7" s="124"/>
    </row>
    <row r="8" spans="1:33" ht="12" customHeight="1">
      <c r="A8" s="558"/>
      <c r="B8" s="1002" t="s">
        <v>934</v>
      </c>
      <c r="C8" s="948">
        <v>2</v>
      </c>
      <c r="D8" s="1004" t="s">
        <v>935</v>
      </c>
      <c r="E8" s="1005"/>
      <c r="F8" s="1005"/>
      <c r="G8" s="1005"/>
      <c r="H8" s="999" t="s">
        <v>26</v>
      </c>
      <c r="I8" s="1000"/>
      <c r="J8" s="1000"/>
      <c r="K8" s="1000"/>
      <c r="L8" s="569" t="s">
        <v>936</v>
      </c>
      <c r="M8" s="569"/>
      <c r="N8" s="569"/>
      <c r="O8" s="569"/>
      <c r="P8" s="8"/>
      <c r="Q8" s="679"/>
      <c r="R8" s="680"/>
      <c r="S8" s="680"/>
      <c r="T8" s="680"/>
      <c r="U8" s="680"/>
      <c r="V8" s="680"/>
      <c r="W8" s="681"/>
      <c r="X8" s="561" t="s">
        <v>936</v>
      </c>
      <c r="Y8" s="563"/>
      <c r="Z8" s="124"/>
      <c r="AA8" s="124"/>
      <c r="AB8" s="124"/>
      <c r="AC8" s="124"/>
      <c r="AD8" s="124"/>
      <c r="AE8" s="124"/>
      <c r="AF8" s="124"/>
      <c r="AG8" s="124"/>
    </row>
    <row r="9" spans="1:33" ht="12" customHeight="1">
      <c r="A9" s="558"/>
      <c r="B9" s="1002"/>
      <c r="C9" s="948"/>
      <c r="D9" s="1006"/>
      <c r="E9" s="1007"/>
      <c r="F9" s="1007"/>
      <c r="G9" s="1007"/>
      <c r="H9" s="999" t="s">
        <v>938</v>
      </c>
      <c r="I9" s="1000"/>
      <c r="J9" s="1000"/>
      <c r="K9" s="1000"/>
      <c r="L9" s="1000"/>
      <c r="M9" s="1000"/>
      <c r="N9" s="1000"/>
      <c r="O9" s="1001"/>
      <c r="P9" s="8"/>
      <c r="Q9" s="996"/>
      <c r="R9" s="997"/>
      <c r="S9" s="997"/>
      <c r="T9" s="997"/>
      <c r="U9" s="997"/>
      <c r="V9" s="997"/>
      <c r="W9" s="998"/>
      <c r="X9" s="569" t="s">
        <v>937</v>
      </c>
      <c r="Y9" s="569"/>
      <c r="AA9" s="124"/>
      <c r="AB9" s="124"/>
      <c r="AC9" s="124"/>
      <c r="AD9" s="124"/>
      <c r="AE9" s="124"/>
      <c r="AF9" s="124"/>
      <c r="AG9" s="124"/>
    </row>
    <row r="10" spans="1:33" ht="12.75" customHeight="1">
      <c r="A10" s="558"/>
      <c r="B10" s="1002"/>
      <c r="C10" s="948"/>
      <c r="D10" s="1006"/>
      <c r="E10" s="1007"/>
      <c r="F10" s="1007"/>
      <c r="G10" s="1007"/>
      <c r="H10" s="561">
        <v>2500</v>
      </c>
      <c r="I10" s="563"/>
      <c r="J10" s="569">
        <v>3000</v>
      </c>
      <c r="K10" s="569"/>
      <c r="L10" s="569">
        <v>2500</v>
      </c>
      <c r="M10" s="569"/>
      <c r="N10" s="569">
        <v>3000</v>
      </c>
      <c r="O10" s="569"/>
      <c r="P10" s="8"/>
      <c r="Q10" s="715"/>
      <c r="R10" s="716"/>
      <c r="S10" s="716"/>
      <c r="T10" s="716"/>
      <c r="U10" s="716"/>
      <c r="V10" s="716"/>
      <c r="W10" s="717"/>
      <c r="X10" s="468">
        <v>2500</v>
      </c>
      <c r="Y10" s="468">
        <v>3000</v>
      </c>
      <c r="Z10" s="124"/>
      <c r="AA10" s="124"/>
      <c r="AB10" s="124"/>
      <c r="AC10" s="124"/>
      <c r="AD10" s="124"/>
      <c r="AE10" s="124"/>
      <c r="AF10" s="124"/>
      <c r="AG10" s="124"/>
    </row>
    <row r="11" spans="1:33" ht="27" customHeight="1">
      <c r="A11" s="491"/>
      <c r="B11" s="1003"/>
      <c r="C11" s="984"/>
      <c r="D11" s="1008"/>
      <c r="E11" s="1009"/>
      <c r="F11" s="1009"/>
      <c r="G11" s="1010"/>
      <c r="H11" s="987">
        <f>(W22*2+W25+W35*2+Y42*44)/2.5</f>
        <v>622</v>
      </c>
      <c r="I11" s="987"/>
      <c r="J11" s="987">
        <f>(W22*2+W27+W35*2+Y42*44)/2.5</f>
        <v>676.4</v>
      </c>
      <c r="K11" s="987"/>
      <c r="L11" s="987">
        <f>(Y23*2+Y26+Y36*2+Y42*44)/2.5</f>
        <v>1010.8</v>
      </c>
      <c r="M11" s="987"/>
      <c r="N11" s="987">
        <f>(Y23*2+Y28+Y36*2+Y42*44)/2.5</f>
        <v>1108</v>
      </c>
      <c r="O11" s="987"/>
      <c r="P11" s="8"/>
      <c r="Q11" s="643"/>
      <c r="R11" s="491" t="s">
        <v>1925</v>
      </c>
      <c r="S11" s="984">
        <v>2</v>
      </c>
      <c r="T11" s="726" t="s">
        <v>1487</v>
      </c>
      <c r="U11" s="727"/>
      <c r="V11" s="727"/>
      <c r="W11" s="728"/>
      <c r="X11" s="987">
        <f>(W20*3+W31*3+W32+W33*2+W37+Y42*33)/2.5</f>
        <v>2211.1999999999998</v>
      </c>
      <c r="Y11" s="987">
        <f>(W20*3+W31*3+W32+W34*2+W37+Y42*36)/2.5</f>
        <v>2287.6</v>
      </c>
      <c r="Z11" s="124"/>
      <c r="AA11" s="124"/>
      <c r="AB11" s="124"/>
      <c r="AC11" s="124"/>
      <c r="AD11" s="124"/>
      <c r="AE11" s="124"/>
      <c r="AF11" s="124"/>
      <c r="AG11" s="124"/>
    </row>
    <row r="12" spans="1:33" s="124" customFormat="1">
      <c r="A12" s="569"/>
      <c r="B12" s="569"/>
      <c r="C12" s="569"/>
      <c r="D12" s="569"/>
      <c r="E12" s="569"/>
      <c r="F12" s="569"/>
      <c r="G12" s="569"/>
      <c r="H12" s="569" t="s">
        <v>937</v>
      </c>
      <c r="I12" s="569"/>
      <c r="J12" s="569"/>
      <c r="K12" s="569"/>
      <c r="L12" s="569"/>
      <c r="M12" s="569"/>
      <c r="N12" s="569"/>
      <c r="O12" s="569"/>
      <c r="P12" s="10"/>
      <c r="Q12" s="664"/>
      <c r="R12" s="492"/>
      <c r="S12" s="985"/>
      <c r="T12" s="729"/>
      <c r="U12" s="730"/>
      <c r="V12" s="730"/>
      <c r="W12" s="731"/>
      <c r="X12" s="988"/>
      <c r="Y12" s="988"/>
    </row>
    <row r="13" spans="1:33" s="124" customFormat="1">
      <c r="A13" s="569"/>
      <c r="B13" s="569"/>
      <c r="C13" s="569"/>
      <c r="D13" s="569"/>
      <c r="E13" s="569"/>
      <c r="F13" s="569"/>
      <c r="G13" s="569"/>
      <c r="H13" s="569">
        <v>2500</v>
      </c>
      <c r="I13" s="569"/>
      <c r="J13" s="569"/>
      <c r="K13" s="569"/>
      <c r="L13" s="569">
        <v>3000</v>
      </c>
      <c r="M13" s="569"/>
      <c r="N13" s="569"/>
      <c r="O13" s="569"/>
      <c r="P13" s="10"/>
      <c r="Q13" s="664"/>
      <c r="R13" s="492"/>
      <c r="S13" s="986"/>
      <c r="T13" s="729"/>
      <c r="U13" s="730"/>
      <c r="V13" s="730"/>
      <c r="W13" s="731"/>
      <c r="X13" s="989"/>
      <c r="Y13" s="989"/>
    </row>
    <row r="14" spans="1:33" ht="12.75" customHeight="1">
      <c r="A14" s="947"/>
      <c r="B14" s="558" t="s">
        <v>1926</v>
      </c>
      <c r="C14" s="948">
        <v>1.65</v>
      </c>
      <c r="D14" s="626" t="s">
        <v>939</v>
      </c>
      <c r="E14" s="991"/>
      <c r="F14" s="991"/>
      <c r="G14" s="627"/>
      <c r="H14" s="990">
        <f>(W20*3+W31*2+W33*2+Y38+Y42*27)/2.5</f>
        <v>1645.6</v>
      </c>
      <c r="I14" s="990"/>
      <c r="J14" s="990"/>
      <c r="K14" s="990"/>
      <c r="L14" s="990">
        <f>(W20*3+W31*2+W34*2+Y38+Y42*27)/2.5</f>
        <v>1716</v>
      </c>
      <c r="M14" s="990"/>
      <c r="N14" s="990"/>
      <c r="O14" s="990"/>
      <c r="P14" s="36"/>
      <c r="Q14" s="664"/>
      <c r="R14" s="492"/>
      <c r="S14" s="948">
        <v>2.4</v>
      </c>
      <c r="T14" s="729"/>
      <c r="U14" s="730"/>
      <c r="V14" s="730"/>
      <c r="W14" s="731"/>
      <c r="X14" s="990">
        <f>(W21*3+W31*3+W32+W33*2+Z30+W39*2+Y42*39)/2.5</f>
        <v>3212</v>
      </c>
      <c r="Y14" s="990">
        <f>(W21*3+W31*3+W32+W34*2+Z30+W39*2+Y42*43)/2.5</f>
        <v>3290.4</v>
      </c>
      <c r="Z14" s="124"/>
    </row>
    <row r="15" spans="1:33" ht="15.75" customHeight="1">
      <c r="A15" s="947"/>
      <c r="B15" s="558"/>
      <c r="C15" s="948"/>
      <c r="D15" s="992"/>
      <c r="E15" s="993"/>
      <c r="F15" s="993"/>
      <c r="G15" s="994"/>
      <c r="H15" s="990"/>
      <c r="I15" s="990"/>
      <c r="J15" s="990"/>
      <c r="K15" s="990"/>
      <c r="L15" s="990"/>
      <c r="M15" s="990"/>
      <c r="N15" s="990"/>
      <c r="O15" s="990"/>
      <c r="P15" s="36"/>
      <c r="Q15" s="664"/>
      <c r="R15" s="492"/>
      <c r="S15" s="948"/>
      <c r="T15" s="729"/>
      <c r="U15" s="730"/>
      <c r="V15" s="730"/>
      <c r="W15" s="731"/>
      <c r="X15" s="990"/>
      <c r="Y15" s="990"/>
      <c r="Z15" s="124"/>
    </row>
    <row r="16" spans="1:33" ht="15" customHeight="1">
      <c r="A16" s="947"/>
      <c r="B16" s="558"/>
      <c r="C16" s="948">
        <v>2</v>
      </c>
      <c r="D16" s="992"/>
      <c r="E16" s="993"/>
      <c r="F16" s="993"/>
      <c r="G16" s="994"/>
      <c r="H16" s="990">
        <f>(W21*3+W31*2+W33*2+Y38+Y42*27)/2.5</f>
        <v>1847.2</v>
      </c>
      <c r="I16" s="990"/>
      <c r="J16" s="990"/>
      <c r="K16" s="990"/>
      <c r="L16" s="990">
        <f>(W21*3+W31*2+W34*2+Y38+Y42*27)/2.5</f>
        <v>1917.6</v>
      </c>
      <c r="M16" s="990"/>
      <c r="N16" s="990"/>
      <c r="O16" s="990"/>
      <c r="P16" s="256"/>
      <c r="Q16" s="644"/>
      <c r="R16" s="493"/>
      <c r="S16" s="948"/>
      <c r="T16" s="732"/>
      <c r="U16" s="733"/>
      <c r="V16" s="733"/>
      <c r="W16" s="734"/>
      <c r="X16" s="990"/>
      <c r="Y16" s="990"/>
    </row>
    <row r="17" spans="1:26" ht="22.5" customHeight="1">
      <c r="A17" s="947"/>
      <c r="B17" s="558"/>
      <c r="C17" s="948"/>
      <c r="D17" s="628"/>
      <c r="E17" s="995"/>
      <c r="F17" s="995"/>
      <c r="G17" s="629"/>
      <c r="H17" s="990"/>
      <c r="I17" s="990"/>
      <c r="J17" s="990"/>
      <c r="K17" s="990"/>
      <c r="L17" s="990"/>
      <c r="M17" s="990"/>
      <c r="N17" s="990"/>
      <c r="O17" s="990"/>
      <c r="P17" s="257"/>
      <c r="Q17" s="98"/>
    </row>
    <row r="18" spans="1:26" ht="15" customHeight="1">
      <c r="A18" s="561" t="s">
        <v>940</v>
      </c>
      <c r="B18" s="562"/>
      <c r="C18" s="562"/>
      <c r="D18" s="562"/>
      <c r="E18" s="562"/>
      <c r="F18" s="562"/>
      <c r="G18" s="562"/>
      <c r="H18" s="562"/>
      <c r="I18" s="562"/>
      <c r="J18" s="562"/>
      <c r="K18" s="562"/>
      <c r="L18" s="562"/>
      <c r="M18" s="562"/>
      <c r="N18" s="562"/>
      <c r="O18" s="562"/>
      <c r="P18" s="562"/>
      <c r="Q18" s="562"/>
      <c r="R18" s="562"/>
      <c r="S18" s="562"/>
      <c r="T18" s="562"/>
      <c r="U18" s="562"/>
      <c r="V18" s="562"/>
      <c r="W18" s="562"/>
      <c r="X18" s="562"/>
      <c r="Y18" s="563"/>
    </row>
    <row r="19" spans="1:26" ht="28.5" customHeight="1">
      <c r="A19" s="468" t="s">
        <v>855</v>
      </c>
      <c r="B19" s="561" t="s">
        <v>18</v>
      </c>
      <c r="C19" s="562"/>
      <c r="D19" s="563"/>
      <c r="E19" s="569" t="s">
        <v>941</v>
      </c>
      <c r="F19" s="569"/>
      <c r="G19" s="569"/>
      <c r="H19" s="569" t="s">
        <v>942</v>
      </c>
      <c r="I19" s="569"/>
      <c r="J19" s="569"/>
      <c r="K19" s="569"/>
      <c r="L19" s="569" t="s">
        <v>943</v>
      </c>
      <c r="M19" s="569"/>
      <c r="N19" s="569"/>
      <c r="O19" s="569"/>
      <c r="P19" s="569"/>
      <c r="Q19" s="569" t="s">
        <v>856</v>
      </c>
      <c r="R19" s="569"/>
      <c r="S19" s="569"/>
      <c r="T19" s="569"/>
      <c r="U19" s="569" t="s">
        <v>852</v>
      </c>
      <c r="V19" s="569"/>
      <c r="W19" s="406" t="s">
        <v>1927</v>
      </c>
      <c r="X19" s="333" t="s">
        <v>111</v>
      </c>
      <c r="Y19" s="468" t="s">
        <v>111</v>
      </c>
    </row>
    <row r="20" spans="1:26" ht="19.5" customHeight="1">
      <c r="A20" s="947"/>
      <c r="B20" s="640" t="s">
        <v>1928</v>
      </c>
      <c r="C20" s="640"/>
      <c r="D20" s="640"/>
      <c r="E20" s="536" t="s">
        <v>944</v>
      </c>
      <c r="F20" s="536"/>
      <c r="G20" s="536"/>
      <c r="H20" s="536">
        <v>100</v>
      </c>
      <c r="I20" s="536"/>
      <c r="J20" s="536"/>
      <c r="K20" s="536"/>
      <c r="L20" s="948">
        <v>5.9</v>
      </c>
      <c r="M20" s="948"/>
      <c r="N20" s="948"/>
      <c r="O20" s="948"/>
      <c r="P20" s="948"/>
      <c r="Q20" s="946" t="s">
        <v>945</v>
      </c>
      <c r="R20" s="946"/>
      <c r="S20" s="946"/>
      <c r="T20" s="946"/>
      <c r="U20" s="943">
        <v>0.5</v>
      </c>
      <c r="V20" s="943"/>
      <c r="W20" s="983">
        <f>ROUND(735*Belarus*(1-F50),2)</f>
        <v>735</v>
      </c>
      <c r="X20" s="983"/>
      <c r="Y20" s="361"/>
    </row>
    <row r="21" spans="1:26" ht="19.5" customHeight="1">
      <c r="A21" s="947"/>
      <c r="B21" s="640"/>
      <c r="C21" s="640"/>
      <c r="D21" s="640"/>
      <c r="E21" s="536" t="s">
        <v>946</v>
      </c>
      <c r="F21" s="536"/>
      <c r="G21" s="536"/>
      <c r="H21" s="536">
        <v>100</v>
      </c>
      <c r="I21" s="536"/>
      <c r="J21" s="536"/>
      <c r="K21" s="536"/>
      <c r="L21" s="948">
        <v>7.3</v>
      </c>
      <c r="M21" s="948"/>
      <c r="N21" s="948"/>
      <c r="O21" s="948"/>
      <c r="P21" s="948"/>
      <c r="Q21" s="946"/>
      <c r="R21" s="946"/>
      <c r="S21" s="946"/>
      <c r="T21" s="946"/>
      <c r="U21" s="943"/>
      <c r="V21" s="943"/>
      <c r="W21" s="983">
        <f>ROUND(903*Belarus*(1-F50),2)</f>
        <v>903</v>
      </c>
      <c r="X21" s="983"/>
      <c r="Y21" s="361"/>
    </row>
    <row r="22" spans="1:26" ht="12.75" customHeight="1">
      <c r="A22" s="947"/>
      <c r="B22" s="650" t="s">
        <v>947</v>
      </c>
      <c r="C22" s="650"/>
      <c r="D22" s="650"/>
      <c r="E22" s="622" t="s">
        <v>948</v>
      </c>
      <c r="F22" s="981"/>
      <c r="G22" s="623"/>
      <c r="H22" s="536">
        <v>180</v>
      </c>
      <c r="I22" s="536"/>
      <c r="J22" s="536"/>
      <c r="K22" s="536"/>
      <c r="L22" s="948">
        <v>2.4500000000000002</v>
      </c>
      <c r="M22" s="948"/>
      <c r="N22" s="948"/>
      <c r="O22" s="948"/>
      <c r="P22" s="948"/>
      <c r="Q22" s="946" t="s">
        <v>949</v>
      </c>
      <c r="R22" s="946"/>
      <c r="S22" s="946"/>
      <c r="T22" s="946"/>
      <c r="U22" s="943">
        <v>1</v>
      </c>
      <c r="V22" s="943"/>
      <c r="W22" s="983">
        <f>ROUND(273*Belarus*(1-F50),2)</f>
        <v>273</v>
      </c>
      <c r="X22" s="983"/>
      <c r="Y22" s="361"/>
    </row>
    <row r="23" spans="1:26" ht="39" customHeight="1">
      <c r="A23" s="947"/>
      <c r="B23" s="650"/>
      <c r="C23" s="650"/>
      <c r="D23" s="650"/>
      <c r="E23" s="624"/>
      <c r="F23" s="982"/>
      <c r="G23" s="625"/>
      <c r="H23" s="536">
        <v>180</v>
      </c>
      <c r="I23" s="536"/>
      <c r="J23" s="536"/>
      <c r="K23" s="536"/>
      <c r="L23" s="948">
        <v>2.4500000000000002</v>
      </c>
      <c r="M23" s="948"/>
      <c r="N23" s="948"/>
      <c r="O23" s="948"/>
      <c r="P23" s="948"/>
      <c r="Q23" s="946" t="s">
        <v>950</v>
      </c>
      <c r="R23" s="946"/>
      <c r="S23" s="946"/>
      <c r="T23" s="946"/>
      <c r="U23" s="943"/>
      <c r="V23" s="943"/>
      <c r="W23" s="944"/>
      <c r="X23" s="945"/>
      <c r="Y23" s="361">
        <f>ROUND(464*Belarus*(1-C50),2)</f>
        <v>464</v>
      </c>
    </row>
    <row r="24" spans="1:26" ht="12.75" customHeight="1">
      <c r="A24" s="947"/>
      <c r="B24" s="650"/>
      <c r="C24" s="650"/>
      <c r="D24" s="650"/>
      <c r="E24" s="622" t="s">
        <v>951</v>
      </c>
      <c r="F24" s="981"/>
      <c r="G24" s="623"/>
      <c r="H24" s="536">
        <v>180</v>
      </c>
      <c r="I24" s="536"/>
      <c r="J24" s="536"/>
      <c r="K24" s="536"/>
      <c r="L24" s="948">
        <v>2.94</v>
      </c>
      <c r="M24" s="948"/>
      <c r="N24" s="948"/>
      <c r="O24" s="948"/>
      <c r="P24" s="948"/>
      <c r="Q24" s="946" t="s">
        <v>949</v>
      </c>
      <c r="R24" s="946"/>
      <c r="S24" s="946"/>
      <c r="T24" s="946"/>
      <c r="U24" s="943"/>
      <c r="V24" s="943"/>
      <c r="W24" s="949">
        <f>ROUND(328*Belarus*(1-F50),2)</f>
        <v>328</v>
      </c>
      <c r="X24" s="950"/>
      <c r="Y24" s="361"/>
    </row>
    <row r="25" spans="1:26" ht="13.5" customHeight="1">
      <c r="A25" s="971"/>
      <c r="B25" s="973" t="s">
        <v>952</v>
      </c>
      <c r="C25" s="974"/>
      <c r="D25" s="975"/>
      <c r="E25" s="536" t="s">
        <v>953</v>
      </c>
      <c r="F25" s="536"/>
      <c r="G25" s="536"/>
      <c r="H25" s="536">
        <v>96</v>
      </c>
      <c r="I25" s="536"/>
      <c r="J25" s="536"/>
      <c r="K25" s="536"/>
      <c r="L25" s="948">
        <v>6.78</v>
      </c>
      <c r="M25" s="948"/>
      <c r="N25" s="948"/>
      <c r="O25" s="948"/>
      <c r="P25" s="948"/>
      <c r="Q25" s="946" t="s">
        <v>859</v>
      </c>
      <c r="R25" s="946"/>
      <c r="S25" s="946"/>
      <c r="T25" s="946"/>
      <c r="U25" s="943">
        <v>1.4</v>
      </c>
      <c r="V25" s="943"/>
      <c r="W25" s="949">
        <f>ROUND(683*Belarus*(1-F50),2)</f>
        <v>683</v>
      </c>
      <c r="X25" s="950"/>
      <c r="Y25" s="361"/>
    </row>
    <row r="26" spans="1:26" ht="17.25" customHeight="1">
      <c r="A26" s="971"/>
      <c r="B26" s="976"/>
      <c r="C26" s="686"/>
      <c r="D26" s="977"/>
      <c r="E26" s="536"/>
      <c r="F26" s="536"/>
      <c r="G26" s="536"/>
      <c r="H26" s="536"/>
      <c r="I26" s="536"/>
      <c r="J26" s="536"/>
      <c r="K26" s="536"/>
      <c r="L26" s="948"/>
      <c r="M26" s="948"/>
      <c r="N26" s="948"/>
      <c r="O26" s="948"/>
      <c r="P26" s="948"/>
      <c r="Q26" s="946" t="s">
        <v>954</v>
      </c>
      <c r="R26" s="946"/>
      <c r="S26" s="946"/>
      <c r="T26" s="946"/>
      <c r="U26" s="943"/>
      <c r="V26" s="943"/>
      <c r="W26" s="944"/>
      <c r="X26" s="945"/>
      <c r="Y26" s="361">
        <f>ROUND(1183*Belarus*(1-C50),2)</f>
        <v>1183</v>
      </c>
    </row>
    <row r="27" spans="1:26" ht="12.75" customHeight="1">
      <c r="A27" s="971"/>
      <c r="B27" s="976"/>
      <c r="C27" s="686"/>
      <c r="D27" s="977"/>
      <c r="E27" s="536" t="s">
        <v>955</v>
      </c>
      <c r="F27" s="536"/>
      <c r="G27" s="536"/>
      <c r="H27" s="536">
        <v>96</v>
      </c>
      <c r="I27" s="536"/>
      <c r="J27" s="536"/>
      <c r="K27" s="536"/>
      <c r="L27" s="948">
        <v>8.1300000000000008</v>
      </c>
      <c r="M27" s="948"/>
      <c r="N27" s="948"/>
      <c r="O27" s="948"/>
      <c r="P27" s="948"/>
      <c r="Q27" s="946" t="s">
        <v>859</v>
      </c>
      <c r="R27" s="946"/>
      <c r="S27" s="946"/>
      <c r="T27" s="946"/>
      <c r="U27" s="943"/>
      <c r="V27" s="943"/>
      <c r="W27" s="949">
        <f>ROUND(819*Belarus*(1-F50),2)</f>
        <v>819</v>
      </c>
      <c r="X27" s="950"/>
      <c r="Y27" s="361"/>
    </row>
    <row r="28" spans="1:26" ht="27.75" customHeight="1">
      <c r="A28" s="971"/>
      <c r="B28" s="976"/>
      <c r="C28" s="686"/>
      <c r="D28" s="977"/>
      <c r="E28" s="536"/>
      <c r="F28" s="536"/>
      <c r="G28" s="536"/>
      <c r="H28" s="536"/>
      <c r="I28" s="536"/>
      <c r="J28" s="536"/>
      <c r="K28" s="536"/>
      <c r="L28" s="948"/>
      <c r="M28" s="948"/>
      <c r="N28" s="948"/>
      <c r="O28" s="948"/>
      <c r="P28" s="948"/>
      <c r="Q28" s="946" t="s">
        <v>945</v>
      </c>
      <c r="R28" s="946"/>
      <c r="S28" s="946"/>
      <c r="T28" s="946"/>
      <c r="U28" s="943"/>
      <c r="V28" s="943"/>
      <c r="W28" s="944"/>
      <c r="X28" s="945"/>
      <c r="Y28" s="361">
        <f>ROUND(1426*Belarus*(1-C50),2)</f>
        <v>1426</v>
      </c>
    </row>
    <row r="29" spans="1:26" ht="14.25" customHeight="1">
      <c r="A29" s="971"/>
      <c r="B29" s="976"/>
      <c r="C29" s="686"/>
      <c r="D29" s="977"/>
      <c r="E29" s="536" t="s">
        <v>1488</v>
      </c>
      <c r="F29" s="536"/>
      <c r="G29" s="536"/>
      <c r="H29" s="536">
        <v>64</v>
      </c>
      <c r="I29" s="536"/>
      <c r="J29" s="536"/>
      <c r="K29" s="536"/>
      <c r="L29" s="948">
        <v>11.64</v>
      </c>
      <c r="M29" s="948"/>
      <c r="N29" s="948"/>
      <c r="O29" s="948"/>
      <c r="P29" s="948"/>
      <c r="Q29" s="963" t="s">
        <v>1489</v>
      </c>
      <c r="R29" s="964"/>
      <c r="S29" s="964"/>
      <c r="T29" s="965"/>
      <c r="U29" s="955">
        <v>1.6</v>
      </c>
      <c r="V29" s="956"/>
      <c r="W29" s="959">
        <f>ROUND(1311*Belarus*(1-F50),2)</f>
        <v>1311</v>
      </c>
      <c r="X29" s="960"/>
      <c r="Y29" s="969"/>
    </row>
    <row r="30" spans="1:26" ht="27.75" customHeight="1">
      <c r="A30" s="972"/>
      <c r="B30" s="978"/>
      <c r="C30" s="979"/>
      <c r="D30" s="980"/>
      <c r="E30" s="536"/>
      <c r="F30" s="536"/>
      <c r="G30" s="536"/>
      <c r="H30" s="536"/>
      <c r="I30" s="536"/>
      <c r="J30" s="536"/>
      <c r="K30" s="536"/>
      <c r="L30" s="948"/>
      <c r="M30" s="948"/>
      <c r="N30" s="948"/>
      <c r="O30" s="948"/>
      <c r="P30" s="948"/>
      <c r="Q30" s="966"/>
      <c r="R30" s="967"/>
      <c r="S30" s="967"/>
      <c r="T30" s="968"/>
      <c r="U30" s="957"/>
      <c r="V30" s="958"/>
      <c r="W30" s="961"/>
      <c r="X30" s="962"/>
      <c r="Y30" s="970"/>
      <c r="Z30" s="470">
        <f>ROUND(1949*Belarus*(1-C50),2)</f>
        <v>1949</v>
      </c>
    </row>
    <row r="31" spans="1:26" ht="41.25" customHeight="1">
      <c r="A31" s="146"/>
      <c r="B31" s="650" t="s">
        <v>956</v>
      </c>
      <c r="C31" s="650"/>
      <c r="D31" s="650"/>
      <c r="E31" s="632" t="s">
        <v>957</v>
      </c>
      <c r="F31" s="951"/>
      <c r="G31" s="633"/>
      <c r="H31" s="632">
        <v>162</v>
      </c>
      <c r="I31" s="951"/>
      <c r="J31" s="951"/>
      <c r="K31" s="633"/>
      <c r="L31" s="952">
        <v>3.3</v>
      </c>
      <c r="M31" s="953"/>
      <c r="N31" s="953"/>
      <c r="O31" s="953"/>
      <c r="P31" s="954"/>
      <c r="Q31" s="946" t="s">
        <v>945</v>
      </c>
      <c r="R31" s="946"/>
      <c r="S31" s="946"/>
      <c r="T31" s="946"/>
      <c r="U31" s="943">
        <v>0.9</v>
      </c>
      <c r="V31" s="943"/>
      <c r="W31" s="949">
        <f>ROUND(431*Belarus*(1-F50),2)</f>
        <v>431</v>
      </c>
      <c r="X31" s="950"/>
      <c r="Y31" s="361"/>
    </row>
    <row r="32" spans="1:26" ht="42" customHeight="1">
      <c r="A32" s="146"/>
      <c r="B32" s="650" t="s">
        <v>958</v>
      </c>
      <c r="C32" s="650"/>
      <c r="D32" s="650"/>
      <c r="E32" s="536" t="s">
        <v>959</v>
      </c>
      <c r="F32" s="536"/>
      <c r="G32" s="536"/>
      <c r="H32" s="536">
        <v>100</v>
      </c>
      <c r="I32" s="536"/>
      <c r="J32" s="536"/>
      <c r="K32" s="536"/>
      <c r="L32" s="948">
        <v>3.6</v>
      </c>
      <c r="M32" s="948"/>
      <c r="N32" s="948"/>
      <c r="O32" s="948"/>
      <c r="P32" s="948"/>
      <c r="Q32" s="946" t="s">
        <v>960</v>
      </c>
      <c r="R32" s="946"/>
      <c r="S32" s="946"/>
      <c r="T32" s="946"/>
      <c r="U32" s="943">
        <v>0.5</v>
      </c>
      <c r="V32" s="943"/>
      <c r="W32" s="949">
        <f>ROUND(966*Belarus*(1-F50),2)</f>
        <v>966</v>
      </c>
      <c r="X32" s="950"/>
      <c r="Y32" s="361"/>
    </row>
    <row r="33" spans="1:29" ht="22.5" customHeight="1">
      <c r="A33" s="947"/>
      <c r="B33" s="650" t="s">
        <v>961</v>
      </c>
      <c r="C33" s="650"/>
      <c r="D33" s="650"/>
      <c r="E33" s="536" t="s">
        <v>962</v>
      </c>
      <c r="F33" s="536"/>
      <c r="G33" s="536"/>
      <c r="H33" s="536">
        <v>154</v>
      </c>
      <c r="I33" s="536"/>
      <c r="J33" s="536"/>
      <c r="K33" s="536"/>
      <c r="L33" s="948">
        <v>3.3</v>
      </c>
      <c r="M33" s="948"/>
      <c r="N33" s="948"/>
      <c r="O33" s="948"/>
      <c r="P33" s="948"/>
      <c r="Q33" s="946" t="s">
        <v>945</v>
      </c>
      <c r="R33" s="946"/>
      <c r="S33" s="946"/>
      <c r="T33" s="946"/>
      <c r="U33" s="943">
        <v>0.9</v>
      </c>
      <c r="V33" s="943"/>
      <c r="W33" s="949">
        <f>ROUND(431*Belarus*(1-F50),2)</f>
        <v>431</v>
      </c>
      <c r="X33" s="950"/>
      <c r="Y33" s="361"/>
    </row>
    <row r="34" spans="1:29" ht="22.5" customHeight="1">
      <c r="A34" s="947"/>
      <c r="B34" s="650"/>
      <c r="C34" s="650"/>
      <c r="D34" s="650"/>
      <c r="E34" s="536" t="s">
        <v>963</v>
      </c>
      <c r="F34" s="536"/>
      <c r="G34" s="536"/>
      <c r="H34" s="536">
        <v>154</v>
      </c>
      <c r="I34" s="536"/>
      <c r="J34" s="536"/>
      <c r="K34" s="536"/>
      <c r="L34" s="948">
        <v>3.96</v>
      </c>
      <c r="M34" s="948"/>
      <c r="N34" s="948"/>
      <c r="O34" s="948"/>
      <c r="P34" s="948"/>
      <c r="Q34" s="946"/>
      <c r="R34" s="946"/>
      <c r="S34" s="946"/>
      <c r="T34" s="946"/>
      <c r="U34" s="943"/>
      <c r="V34" s="943"/>
      <c r="W34" s="949">
        <f>ROUND(519*Belarus*(1-F50),2)</f>
        <v>519</v>
      </c>
      <c r="X34" s="950"/>
      <c r="Y34" s="361"/>
    </row>
    <row r="35" spans="1:29" ht="14.25" customHeight="1">
      <c r="A35" s="947"/>
      <c r="B35" s="650" t="s">
        <v>964</v>
      </c>
      <c r="C35" s="650"/>
      <c r="D35" s="650"/>
      <c r="E35" s="536" t="s">
        <v>965</v>
      </c>
      <c r="F35" s="536"/>
      <c r="G35" s="536"/>
      <c r="H35" s="536">
        <v>42</v>
      </c>
      <c r="I35" s="536"/>
      <c r="J35" s="536"/>
      <c r="K35" s="536"/>
      <c r="L35" s="948">
        <v>0.25</v>
      </c>
      <c r="M35" s="948"/>
      <c r="N35" s="948"/>
      <c r="O35" s="948"/>
      <c r="P35" s="948"/>
      <c r="Q35" s="946" t="s">
        <v>859</v>
      </c>
      <c r="R35" s="946"/>
      <c r="S35" s="946"/>
      <c r="T35" s="946"/>
      <c r="U35" s="943">
        <v>1.4</v>
      </c>
      <c r="V35" s="943"/>
      <c r="W35" s="949">
        <f>ROUND(53*Belarus*(1-F50),2)</f>
        <v>53</v>
      </c>
      <c r="X35" s="950"/>
      <c r="Y35" s="361"/>
    </row>
    <row r="36" spans="1:29" ht="39" customHeight="1">
      <c r="A36" s="947"/>
      <c r="B36" s="650"/>
      <c r="C36" s="650"/>
      <c r="D36" s="650"/>
      <c r="E36" s="536"/>
      <c r="F36" s="536"/>
      <c r="G36" s="536"/>
      <c r="H36" s="536"/>
      <c r="I36" s="536"/>
      <c r="J36" s="536"/>
      <c r="K36" s="536"/>
      <c r="L36" s="948"/>
      <c r="M36" s="948"/>
      <c r="N36" s="948"/>
      <c r="O36" s="948"/>
      <c r="P36" s="948"/>
      <c r="Q36" s="946" t="s">
        <v>950</v>
      </c>
      <c r="R36" s="946"/>
      <c r="S36" s="946"/>
      <c r="T36" s="946"/>
      <c r="U36" s="943"/>
      <c r="V36" s="943"/>
      <c r="W36" s="944"/>
      <c r="X36" s="945"/>
      <c r="Y36" s="361">
        <f>ROUND(98*Belarus*(1-C50),2)</f>
        <v>98</v>
      </c>
    </row>
    <row r="37" spans="1:29" ht="39" customHeight="1">
      <c r="A37" s="146"/>
      <c r="B37" s="650" t="s">
        <v>966</v>
      </c>
      <c r="C37" s="650"/>
      <c r="D37" s="650"/>
      <c r="E37" s="536" t="s">
        <v>967</v>
      </c>
      <c r="F37" s="536"/>
      <c r="G37" s="536"/>
      <c r="H37" s="536">
        <v>80</v>
      </c>
      <c r="I37" s="536"/>
      <c r="J37" s="536"/>
      <c r="K37" s="536"/>
      <c r="L37" s="948">
        <v>0.02</v>
      </c>
      <c r="M37" s="948"/>
      <c r="N37" s="948"/>
      <c r="O37" s="948"/>
      <c r="P37" s="948"/>
      <c r="Q37" s="946" t="s">
        <v>945</v>
      </c>
      <c r="R37" s="946"/>
      <c r="S37" s="946"/>
      <c r="T37" s="946"/>
      <c r="U37" s="943">
        <v>0.5</v>
      </c>
      <c r="V37" s="943"/>
      <c r="W37" s="949">
        <f>ROUND(37*Belarus*(1-F50),2)</f>
        <v>37</v>
      </c>
      <c r="X37" s="950"/>
      <c r="Y37" s="361"/>
    </row>
    <row r="38" spans="1:29" ht="22.5" customHeight="1">
      <c r="A38" s="146"/>
      <c r="B38" s="650" t="s">
        <v>968</v>
      </c>
      <c r="C38" s="650"/>
      <c r="D38" s="650"/>
      <c r="E38" s="536" t="s">
        <v>969</v>
      </c>
      <c r="F38" s="536"/>
      <c r="G38" s="536"/>
      <c r="H38" s="536">
        <v>200</v>
      </c>
      <c r="I38" s="536"/>
      <c r="J38" s="536"/>
      <c r="K38" s="536"/>
      <c r="L38" s="948">
        <v>0.03</v>
      </c>
      <c r="M38" s="948"/>
      <c r="N38" s="948"/>
      <c r="O38" s="948"/>
      <c r="P38" s="948"/>
      <c r="Q38" s="946" t="s">
        <v>970</v>
      </c>
      <c r="R38" s="946"/>
      <c r="S38" s="946"/>
      <c r="T38" s="946"/>
      <c r="U38" s="943" t="s">
        <v>51</v>
      </c>
      <c r="V38" s="943"/>
      <c r="W38" s="944"/>
      <c r="X38" s="945"/>
      <c r="Y38" s="361">
        <f>ROUND(50*Belarus*(1-C50),2)</f>
        <v>50</v>
      </c>
    </row>
    <row r="39" spans="1:29" ht="42" customHeight="1">
      <c r="A39" s="146"/>
      <c r="B39" s="650" t="s">
        <v>971</v>
      </c>
      <c r="C39" s="650"/>
      <c r="D39" s="650"/>
      <c r="E39" s="536" t="s">
        <v>972</v>
      </c>
      <c r="F39" s="536"/>
      <c r="G39" s="536"/>
      <c r="H39" s="536">
        <v>160</v>
      </c>
      <c r="I39" s="536"/>
      <c r="J39" s="536"/>
      <c r="K39" s="536"/>
      <c r="L39" s="948">
        <v>0.01</v>
      </c>
      <c r="M39" s="948"/>
      <c r="N39" s="948"/>
      <c r="O39" s="948"/>
      <c r="P39" s="948"/>
      <c r="Q39" s="946" t="s">
        <v>945</v>
      </c>
      <c r="R39" s="946"/>
      <c r="S39" s="946"/>
      <c r="T39" s="946"/>
      <c r="U39" s="943">
        <v>0.5</v>
      </c>
      <c r="V39" s="943"/>
      <c r="W39" s="949">
        <f>ROUND(28*Belarus*(1-F50),2)</f>
        <v>28</v>
      </c>
      <c r="X39" s="950"/>
      <c r="Y39" s="361"/>
    </row>
    <row r="40" spans="1:29" ht="29.25" customHeight="1">
      <c r="A40" s="146"/>
      <c r="B40" s="640" t="s">
        <v>973</v>
      </c>
      <c r="C40" s="640"/>
      <c r="D40" s="640"/>
      <c r="E40" s="587" t="s">
        <v>51</v>
      </c>
      <c r="F40" s="587"/>
      <c r="G40" s="587"/>
      <c r="H40" s="587">
        <v>1000</v>
      </c>
      <c r="I40" s="587"/>
      <c r="J40" s="587"/>
      <c r="K40" s="587"/>
      <c r="L40" s="946">
        <v>6.0000000000000001E-3</v>
      </c>
      <c r="M40" s="946"/>
      <c r="N40" s="946"/>
      <c r="O40" s="946"/>
      <c r="P40" s="946"/>
      <c r="Q40" s="587" t="s">
        <v>974</v>
      </c>
      <c r="R40" s="587"/>
      <c r="S40" s="587"/>
      <c r="T40" s="587"/>
      <c r="U40" s="587" t="s">
        <v>51</v>
      </c>
      <c r="V40" s="587"/>
      <c r="W40" s="944"/>
      <c r="X40" s="945"/>
      <c r="Y40" s="361">
        <f>3*Belarus</f>
        <v>3</v>
      </c>
    </row>
    <row r="41" spans="1:29" ht="28.5" customHeight="1">
      <c r="A41" s="146"/>
      <c r="B41" s="640" t="s">
        <v>975</v>
      </c>
      <c r="C41" s="640"/>
      <c r="D41" s="640"/>
      <c r="E41" s="587"/>
      <c r="F41" s="587"/>
      <c r="G41" s="587"/>
      <c r="H41" s="587">
        <v>1000</v>
      </c>
      <c r="I41" s="587"/>
      <c r="J41" s="587"/>
      <c r="K41" s="587"/>
      <c r="L41" s="946">
        <v>6.0000000000000001E-3</v>
      </c>
      <c r="M41" s="946"/>
      <c r="N41" s="946"/>
      <c r="O41" s="946"/>
      <c r="P41" s="946"/>
      <c r="Q41" s="587"/>
      <c r="R41" s="587"/>
      <c r="S41" s="587"/>
      <c r="T41" s="587"/>
      <c r="U41" s="587" t="s">
        <v>51</v>
      </c>
      <c r="V41" s="587"/>
      <c r="W41" s="944"/>
      <c r="X41" s="945"/>
      <c r="Y41" s="361">
        <f>3*Belarus</f>
        <v>3</v>
      </c>
    </row>
    <row r="42" spans="1:29" ht="27.75" customHeight="1">
      <c r="A42" s="947"/>
      <c r="B42" s="650" t="s">
        <v>976</v>
      </c>
      <c r="C42" s="650"/>
      <c r="D42" s="650"/>
      <c r="E42" s="587"/>
      <c r="F42" s="587"/>
      <c r="G42" s="587"/>
      <c r="H42" s="536">
        <v>250</v>
      </c>
      <c r="I42" s="536"/>
      <c r="J42" s="536"/>
      <c r="K42" s="536"/>
      <c r="L42" s="948">
        <v>6.0000000000000001E-3</v>
      </c>
      <c r="M42" s="948"/>
      <c r="N42" s="948"/>
      <c r="O42" s="948"/>
      <c r="P42" s="948"/>
      <c r="Q42" s="587"/>
      <c r="R42" s="587"/>
      <c r="S42" s="587"/>
      <c r="T42" s="587"/>
      <c r="U42" s="943" t="s">
        <v>51</v>
      </c>
      <c r="V42" s="943"/>
      <c r="W42" s="944"/>
      <c r="X42" s="945"/>
      <c r="Y42" s="361">
        <f>5*Belarus</f>
        <v>5</v>
      </c>
      <c r="Z42" s="124"/>
      <c r="AA42" s="124"/>
      <c r="AB42" s="124"/>
      <c r="AC42" s="124"/>
    </row>
    <row r="43" spans="1:29" ht="16.5" customHeight="1">
      <c r="A43" s="947"/>
      <c r="B43" s="650" t="s">
        <v>977</v>
      </c>
      <c r="C43" s="650"/>
      <c r="D43" s="650"/>
      <c r="E43" s="587"/>
      <c r="F43" s="587"/>
      <c r="G43" s="587"/>
      <c r="H43" s="536"/>
      <c r="I43" s="536"/>
      <c r="J43" s="536"/>
      <c r="K43" s="536"/>
      <c r="L43" s="948"/>
      <c r="M43" s="948"/>
      <c r="N43" s="948"/>
      <c r="O43" s="948"/>
      <c r="P43" s="948"/>
      <c r="Q43" s="587"/>
      <c r="R43" s="587"/>
      <c r="S43" s="587"/>
      <c r="T43" s="587"/>
      <c r="U43" s="943"/>
      <c r="V43" s="943"/>
      <c r="W43" s="944"/>
      <c r="X43" s="945"/>
      <c r="Y43" s="361">
        <f>5*Belarus</f>
        <v>5</v>
      </c>
      <c r="Z43" s="124"/>
      <c r="AA43" s="124"/>
      <c r="AB43" s="124"/>
      <c r="AC43" s="124"/>
    </row>
    <row r="44" spans="1:29">
      <c r="A44" s="937" t="s">
        <v>978</v>
      </c>
      <c r="B44" s="938"/>
      <c r="C44" s="938"/>
      <c r="D44" s="938"/>
      <c r="E44" s="938"/>
      <c r="F44" s="938"/>
      <c r="G44" s="938"/>
      <c r="H44" s="938"/>
      <c r="I44" s="938"/>
      <c r="J44" s="938"/>
      <c r="K44" s="938"/>
      <c r="L44" s="938"/>
      <c r="M44" s="938"/>
      <c r="N44" s="938"/>
      <c r="O44" s="938"/>
      <c r="P44" s="938"/>
      <c r="Q44" s="938"/>
      <c r="R44" s="938"/>
      <c r="S44" s="938"/>
      <c r="T44" s="938"/>
      <c r="U44" s="938"/>
      <c r="V44" s="938"/>
      <c r="W44" s="938"/>
      <c r="X44" s="938"/>
      <c r="Y44" s="939"/>
    </row>
    <row r="45" spans="1:29">
      <c r="A45" s="940" t="s">
        <v>1620</v>
      </c>
      <c r="B45" s="941"/>
      <c r="C45" s="941"/>
      <c r="D45" s="941"/>
      <c r="E45" s="941"/>
      <c r="F45" s="941"/>
      <c r="G45" s="941"/>
      <c r="H45" s="941"/>
      <c r="I45" s="941"/>
      <c r="J45" s="941"/>
      <c r="K45" s="941"/>
      <c r="L45" s="941"/>
      <c r="M45" s="941"/>
      <c r="N45" s="941"/>
      <c r="O45" s="941"/>
      <c r="P45" s="941"/>
      <c r="Q45" s="941"/>
      <c r="R45" s="941"/>
      <c r="S45" s="941"/>
      <c r="T45" s="941"/>
      <c r="U45" s="941"/>
      <c r="V45" s="941"/>
      <c r="W45" s="941"/>
      <c r="X45" s="941"/>
      <c r="Y45" s="942"/>
    </row>
    <row r="46" spans="1:29" ht="7.5" customHeight="1">
      <c r="A46" s="8"/>
      <c r="B46" s="8"/>
      <c r="C46" s="8"/>
      <c r="D46" s="8"/>
      <c r="E46" s="8"/>
      <c r="F46" s="8"/>
      <c r="G46" s="8"/>
      <c r="H46" s="8"/>
      <c r="I46" s="8"/>
      <c r="J46" s="8"/>
      <c r="K46" s="8"/>
      <c r="L46" s="8"/>
      <c r="M46" s="8"/>
      <c r="N46" s="8"/>
      <c r="O46" s="8"/>
      <c r="P46" s="8"/>
      <c r="Q46" s="8"/>
      <c r="R46" s="8"/>
      <c r="S46" s="8"/>
      <c r="T46" s="8"/>
      <c r="U46" s="8"/>
      <c r="V46" s="8"/>
      <c r="W46" s="8"/>
      <c r="X46" s="8"/>
      <c r="Y46" s="8"/>
    </row>
    <row r="47" spans="1:29">
      <c r="A47" s="147"/>
      <c r="B47" s="8"/>
      <c r="C47" s="8"/>
      <c r="D47" s="8"/>
      <c r="E47" s="8"/>
      <c r="F47" s="8"/>
      <c r="G47" s="8"/>
      <c r="H47" s="8"/>
      <c r="I47" s="8"/>
      <c r="J47" s="8"/>
      <c r="K47" s="8"/>
      <c r="L47" s="8"/>
      <c r="M47" s="8"/>
      <c r="N47" s="8"/>
      <c r="O47" s="8"/>
      <c r="P47" s="8"/>
      <c r="Q47" s="8"/>
      <c r="R47" s="8"/>
      <c r="S47" s="8"/>
      <c r="T47" s="8"/>
      <c r="U47" s="8"/>
      <c r="V47" s="8"/>
      <c r="W47" s="8"/>
      <c r="X47" s="8"/>
      <c r="Y47" s="8"/>
    </row>
    <row r="48" spans="1:29">
      <c r="A48" s="8"/>
      <c r="B48" s="8"/>
      <c r="C48" s="8"/>
      <c r="D48" s="8"/>
      <c r="E48" s="8"/>
      <c r="F48" s="8"/>
      <c r="G48" s="8"/>
      <c r="H48" s="8"/>
      <c r="I48" s="8"/>
      <c r="J48" s="8"/>
      <c r="K48" s="8"/>
      <c r="L48" s="8"/>
      <c r="M48" s="8"/>
      <c r="N48" s="8"/>
      <c r="O48" s="8"/>
      <c r="P48" s="8"/>
      <c r="Q48" s="8"/>
      <c r="R48" s="8"/>
      <c r="S48" s="8"/>
      <c r="T48" s="8"/>
      <c r="U48" s="8"/>
      <c r="V48" s="8"/>
      <c r="W48" s="8"/>
      <c r="X48" s="8"/>
      <c r="Y48" s="8"/>
    </row>
    <row r="49" spans="1:25">
      <c r="A49" s="8"/>
      <c r="B49" s="8"/>
      <c r="C49" s="8"/>
      <c r="D49" s="8"/>
      <c r="E49" s="8"/>
      <c r="F49" s="8"/>
      <c r="G49" s="8"/>
      <c r="H49" s="8"/>
      <c r="I49" s="8"/>
      <c r="J49" s="8"/>
      <c r="K49" s="8"/>
      <c r="L49" s="8"/>
      <c r="M49" s="8"/>
      <c r="N49" s="8"/>
      <c r="O49" s="8"/>
      <c r="P49" s="8"/>
      <c r="Q49" s="8"/>
      <c r="R49" s="8"/>
      <c r="S49" s="8"/>
      <c r="T49" s="8"/>
      <c r="U49" s="8"/>
      <c r="V49" s="8"/>
      <c r="W49" s="8"/>
      <c r="X49" s="8"/>
      <c r="Y49" s="8"/>
    </row>
    <row r="50" spans="1:25">
      <c r="A50" s="740" t="s">
        <v>854</v>
      </c>
      <c r="B50" s="740"/>
      <c r="C50" s="713">
        <v>0</v>
      </c>
      <c r="D50" s="740" t="s">
        <v>1929</v>
      </c>
      <c r="E50" s="740"/>
      <c r="F50" s="543">
        <v>0</v>
      </c>
      <c r="G50" s="543"/>
      <c r="H50" s="8"/>
      <c r="I50" s="8"/>
      <c r="J50" s="8"/>
      <c r="K50" s="8"/>
      <c r="L50" s="8"/>
      <c r="M50" s="8"/>
      <c r="N50" s="8"/>
      <c r="O50" s="8"/>
      <c r="P50" s="8"/>
      <c r="Q50" s="8"/>
      <c r="R50" s="8"/>
      <c r="S50" s="8"/>
      <c r="T50" s="8"/>
      <c r="U50" s="8"/>
      <c r="V50" s="8"/>
      <c r="W50" s="8"/>
      <c r="X50" s="8"/>
      <c r="Y50" s="8"/>
    </row>
    <row r="51" spans="1:25">
      <c r="A51" s="740"/>
      <c r="B51" s="740"/>
      <c r="C51" s="714"/>
      <c r="D51" s="740"/>
      <c r="E51" s="740"/>
      <c r="F51" s="543"/>
      <c r="G51" s="543"/>
      <c r="H51" s="8"/>
      <c r="I51" s="8"/>
      <c r="J51" s="8"/>
      <c r="K51" s="8"/>
      <c r="L51" s="8"/>
      <c r="M51" s="8"/>
      <c r="N51" s="8"/>
      <c r="O51" s="8"/>
      <c r="P51" s="8"/>
      <c r="Q51" s="8"/>
      <c r="R51" s="8"/>
      <c r="S51" s="8"/>
      <c r="T51" s="8"/>
      <c r="U51" s="8"/>
      <c r="V51" s="8"/>
      <c r="W51" s="8"/>
      <c r="X51" s="8"/>
      <c r="Y51" s="8"/>
    </row>
    <row r="53" spans="1:25">
      <c r="A53" s="281" t="s">
        <v>2139</v>
      </c>
    </row>
  </sheetData>
  <sheetProtection selectLockedCells="1" selectUnlockedCells="1"/>
  <mergeCells count="199">
    <mergeCell ref="R6:R7"/>
    <mergeCell ref="S6:S7"/>
    <mergeCell ref="T6:W7"/>
    <mergeCell ref="X6:Y6"/>
    <mergeCell ref="H7:O7"/>
    <mergeCell ref="X7:Y7"/>
    <mergeCell ref="A1:D1"/>
    <mergeCell ref="A2:V2"/>
    <mergeCell ref="A3:Y3"/>
    <mergeCell ref="A4:Y4"/>
    <mergeCell ref="A6:A7"/>
    <mergeCell ref="B6:B7"/>
    <mergeCell ref="C6:C7"/>
    <mergeCell ref="D6:G7"/>
    <mergeCell ref="H6:O6"/>
    <mergeCell ref="Q6:Q7"/>
    <mergeCell ref="A8:A11"/>
    <mergeCell ref="B8:B11"/>
    <mergeCell ref="C8:C11"/>
    <mergeCell ref="D8:G11"/>
    <mergeCell ref="H8:K8"/>
    <mergeCell ref="L8:O8"/>
    <mergeCell ref="H11:I11"/>
    <mergeCell ref="J11:K11"/>
    <mergeCell ref="L11:M11"/>
    <mergeCell ref="N11:O11"/>
    <mergeCell ref="H14:K15"/>
    <mergeCell ref="L14:O15"/>
    <mergeCell ref="C16:C17"/>
    <mergeCell ref="H16:K17"/>
    <mergeCell ref="L16:O17"/>
    <mergeCell ref="Q8:W10"/>
    <mergeCell ref="X8:Y8"/>
    <mergeCell ref="H9:O9"/>
    <mergeCell ref="X9:Y9"/>
    <mergeCell ref="H10:I10"/>
    <mergeCell ref="J10:K10"/>
    <mergeCell ref="L10:M10"/>
    <mergeCell ref="N10:O10"/>
    <mergeCell ref="A18:Y18"/>
    <mergeCell ref="B19:D19"/>
    <mergeCell ref="E19:G19"/>
    <mergeCell ref="H19:K19"/>
    <mergeCell ref="L19:P19"/>
    <mergeCell ref="Q19:T19"/>
    <mergeCell ref="U19:V19"/>
    <mergeCell ref="Q11:Q16"/>
    <mergeCell ref="R11:R16"/>
    <mergeCell ref="S11:S13"/>
    <mergeCell ref="T11:W16"/>
    <mergeCell ref="X11:X13"/>
    <mergeCell ref="Y11:Y13"/>
    <mergeCell ref="S14:S16"/>
    <mergeCell ref="X14:X16"/>
    <mergeCell ref="Y14:Y16"/>
    <mergeCell ref="A12:G13"/>
    <mergeCell ref="H12:O12"/>
    <mergeCell ref="H13:K13"/>
    <mergeCell ref="L13:O13"/>
    <mergeCell ref="A14:A17"/>
    <mergeCell ref="B14:B17"/>
    <mergeCell ref="C14:C15"/>
    <mergeCell ref="D14:G17"/>
    <mergeCell ref="U20:V21"/>
    <mergeCell ref="W20:X20"/>
    <mergeCell ref="E21:G21"/>
    <mergeCell ref="H21:K21"/>
    <mergeCell ref="L21:P21"/>
    <mergeCell ref="W21:X21"/>
    <mergeCell ref="A20:A21"/>
    <mergeCell ref="B20:D21"/>
    <mergeCell ref="E20:G20"/>
    <mergeCell ref="H20:K20"/>
    <mergeCell ref="L20:P20"/>
    <mergeCell ref="Q20:T21"/>
    <mergeCell ref="W22:X22"/>
    <mergeCell ref="H23:K23"/>
    <mergeCell ref="L23:P23"/>
    <mergeCell ref="Q23:T23"/>
    <mergeCell ref="W23:X23"/>
    <mergeCell ref="H24:K24"/>
    <mergeCell ref="L24:P24"/>
    <mergeCell ref="Q24:T24"/>
    <mergeCell ref="W24:X24"/>
    <mergeCell ref="H22:K22"/>
    <mergeCell ref="L22:P22"/>
    <mergeCell ref="Q22:T22"/>
    <mergeCell ref="A25:A30"/>
    <mergeCell ref="B25:D30"/>
    <mergeCell ref="E25:G26"/>
    <mergeCell ref="H25:K26"/>
    <mergeCell ref="L25:P26"/>
    <mergeCell ref="Q25:T25"/>
    <mergeCell ref="E29:G30"/>
    <mergeCell ref="H29:K30"/>
    <mergeCell ref="U22:V24"/>
    <mergeCell ref="A22:A24"/>
    <mergeCell ref="B22:D24"/>
    <mergeCell ref="E22:G23"/>
    <mergeCell ref="E24:G24"/>
    <mergeCell ref="Y29:Y30"/>
    <mergeCell ref="W26:X26"/>
    <mergeCell ref="E27:G28"/>
    <mergeCell ref="H27:K28"/>
    <mergeCell ref="L27:P28"/>
    <mergeCell ref="Q27:T27"/>
    <mergeCell ref="W27:X27"/>
    <mergeCell ref="Q28:T28"/>
    <mergeCell ref="W28:X28"/>
    <mergeCell ref="U31:V31"/>
    <mergeCell ref="U29:V30"/>
    <mergeCell ref="W29:X30"/>
    <mergeCell ref="L29:P30"/>
    <mergeCell ref="Q29:T30"/>
    <mergeCell ref="W31:X31"/>
    <mergeCell ref="U25:V28"/>
    <mergeCell ref="W25:X25"/>
    <mergeCell ref="Q26:T26"/>
    <mergeCell ref="A35:A36"/>
    <mergeCell ref="B35:D36"/>
    <mergeCell ref="E35:G36"/>
    <mergeCell ref="H35:K36"/>
    <mergeCell ref="L35:P36"/>
    <mergeCell ref="W32:X32"/>
    <mergeCell ref="B31:D31"/>
    <mergeCell ref="E31:G31"/>
    <mergeCell ref="A33:A34"/>
    <mergeCell ref="B33:D34"/>
    <mergeCell ref="E33:G33"/>
    <mergeCell ref="H33:K33"/>
    <mergeCell ref="L33:P33"/>
    <mergeCell ref="Q33:T34"/>
    <mergeCell ref="U33:V34"/>
    <mergeCell ref="B32:D32"/>
    <mergeCell ref="E32:G32"/>
    <mergeCell ref="H32:K32"/>
    <mergeCell ref="L32:P32"/>
    <mergeCell ref="Q32:T32"/>
    <mergeCell ref="U32:V32"/>
    <mergeCell ref="H31:K31"/>
    <mergeCell ref="L31:P31"/>
    <mergeCell ref="Q31:T31"/>
    <mergeCell ref="W37:X37"/>
    <mergeCell ref="W38:X38"/>
    <mergeCell ref="Q35:T35"/>
    <mergeCell ref="B37:D37"/>
    <mergeCell ref="E37:G37"/>
    <mergeCell ref="H37:K37"/>
    <mergeCell ref="L37:P37"/>
    <mergeCell ref="Q37:T37"/>
    <mergeCell ref="W33:X33"/>
    <mergeCell ref="E34:G34"/>
    <mergeCell ref="H34:K34"/>
    <mergeCell ref="L34:P34"/>
    <mergeCell ref="W34:X34"/>
    <mergeCell ref="W39:X39"/>
    <mergeCell ref="B38:D38"/>
    <mergeCell ref="E38:G38"/>
    <mergeCell ref="W40:X40"/>
    <mergeCell ref="B41:D41"/>
    <mergeCell ref="H41:K41"/>
    <mergeCell ref="U35:V36"/>
    <mergeCell ref="U41:V41"/>
    <mergeCell ref="W41:X41"/>
    <mergeCell ref="B40:D40"/>
    <mergeCell ref="B39:D39"/>
    <mergeCell ref="E39:G39"/>
    <mergeCell ref="H39:K39"/>
    <mergeCell ref="L39:P39"/>
    <mergeCell ref="Q39:T39"/>
    <mergeCell ref="U39:V39"/>
    <mergeCell ref="U37:V37"/>
    <mergeCell ref="H38:K38"/>
    <mergeCell ref="L38:P38"/>
    <mergeCell ref="Q38:T38"/>
    <mergeCell ref="U38:V38"/>
    <mergeCell ref="W35:X35"/>
    <mergeCell ref="Q36:T36"/>
    <mergeCell ref="W36:X36"/>
    <mergeCell ref="A44:Y44"/>
    <mergeCell ref="A45:Y45"/>
    <mergeCell ref="A50:B51"/>
    <mergeCell ref="C50:C51"/>
    <mergeCell ref="D50:E51"/>
    <mergeCell ref="F50:G51"/>
    <mergeCell ref="U42:V43"/>
    <mergeCell ref="W42:X42"/>
    <mergeCell ref="B43:D43"/>
    <mergeCell ref="W43:X43"/>
    <mergeCell ref="Q40:T43"/>
    <mergeCell ref="U40:V40"/>
    <mergeCell ref="E40:G43"/>
    <mergeCell ref="H40:K40"/>
    <mergeCell ref="L40:P40"/>
    <mergeCell ref="L41:P41"/>
    <mergeCell ref="A42:A43"/>
    <mergeCell ref="B42:D42"/>
    <mergeCell ref="H42:K43"/>
    <mergeCell ref="L42:P43"/>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1"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7.xml><?xml version="1.0" encoding="utf-8"?>
<worksheet xmlns="http://schemas.openxmlformats.org/spreadsheetml/2006/main" xmlns:r="http://schemas.openxmlformats.org/officeDocument/2006/relationships">
  <sheetPr>
    <tabColor indexed="50"/>
    <pageSetUpPr fitToPage="1"/>
  </sheetPr>
  <dimension ref="A1:M41"/>
  <sheetViews>
    <sheetView zoomScale="75" zoomScaleNormal="75" zoomScaleSheetLayoutView="75" workbookViewId="0">
      <selection sqref="A1:D1"/>
    </sheetView>
  </sheetViews>
  <sheetFormatPr defaultRowHeight="15"/>
  <cols>
    <col min="1" max="1" width="28.85546875" style="470" customWidth="1"/>
    <col min="2" max="2" width="24.5703125" style="470" customWidth="1"/>
    <col min="3" max="3" width="12.85546875" style="470" customWidth="1"/>
    <col min="4" max="4" width="19.42578125" style="470" customWidth="1"/>
    <col min="5" max="6" width="16" style="470" customWidth="1"/>
    <col min="7" max="7" width="13.42578125" style="470" customWidth="1"/>
    <col min="8" max="8" width="16.42578125" style="470" customWidth="1"/>
    <col min="9" max="9" width="13.42578125" style="470" customWidth="1"/>
    <col min="10" max="10" width="6.28515625" style="470" customWidth="1"/>
    <col min="11" max="12" width="3" style="470" customWidth="1"/>
    <col min="13" max="13" width="5.42578125" style="470" customWidth="1"/>
    <col min="14" max="16384" width="9.140625" style="470"/>
  </cols>
  <sheetData>
    <row r="1" spans="1:13" ht="12.75" customHeight="1">
      <c r="A1" s="614" t="s">
        <v>19</v>
      </c>
      <c r="B1" s="614"/>
      <c r="C1" s="614"/>
      <c r="D1" s="614"/>
      <c r="E1" s="8"/>
      <c r="F1" s="8"/>
      <c r="G1" s="8"/>
      <c r="H1" s="8"/>
      <c r="I1" s="8"/>
      <c r="J1" s="8"/>
      <c r="K1" s="8"/>
      <c r="L1" s="8"/>
      <c r="M1" s="8"/>
    </row>
    <row r="2" spans="1:13" ht="18" customHeight="1" thickBot="1">
      <c r="A2" s="567" t="s">
        <v>1785</v>
      </c>
      <c r="B2" s="567"/>
      <c r="C2" s="567"/>
      <c r="D2" s="567"/>
      <c r="E2" s="567"/>
      <c r="F2" s="567"/>
      <c r="G2" s="148"/>
      <c r="H2" s="148"/>
      <c r="I2" s="80" t="s">
        <v>20</v>
      </c>
      <c r="J2" s="1069">
        <v>43922</v>
      </c>
      <c r="K2" s="1069"/>
      <c r="L2" s="1069"/>
      <c r="M2" s="1069"/>
    </row>
    <row r="3" spans="1:13" ht="48.75" customHeight="1">
      <c r="A3" s="859" t="s">
        <v>1514</v>
      </c>
      <c r="B3" s="859"/>
      <c r="C3" s="859"/>
      <c r="D3" s="859"/>
      <c r="E3" s="859"/>
      <c r="F3" s="859"/>
      <c r="G3" s="859"/>
      <c r="H3" s="859"/>
      <c r="I3" s="859"/>
      <c r="J3" s="859"/>
      <c r="K3" s="859"/>
      <c r="L3" s="859"/>
      <c r="M3" s="859"/>
    </row>
    <row r="4" spans="1:13" ht="15" customHeight="1">
      <c r="A4" s="1011"/>
      <c r="B4" s="1012"/>
      <c r="C4" s="1012"/>
      <c r="D4" s="1012"/>
      <c r="E4" s="1012"/>
      <c r="F4" s="1012"/>
      <c r="G4" s="1012"/>
      <c r="H4" s="1012"/>
      <c r="I4" s="1012"/>
      <c r="J4" s="1012"/>
      <c r="K4" s="1012"/>
      <c r="L4" s="1012"/>
      <c r="M4" s="1012"/>
    </row>
    <row r="5" spans="1:13" ht="15" customHeight="1">
      <c r="A5" s="116"/>
      <c r="B5" s="116"/>
      <c r="C5" s="116"/>
      <c r="D5" s="116"/>
      <c r="E5" s="116"/>
      <c r="F5" s="116"/>
      <c r="G5" s="116"/>
      <c r="H5" s="116"/>
      <c r="I5" s="373" t="s">
        <v>849</v>
      </c>
      <c r="J5" s="1068">
        <v>43920</v>
      </c>
      <c r="K5" s="1068"/>
      <c r="L5" s="1068"/>
      <c r="M5" s="1068"/>
    </row>
    <row r="6" spans="1:13" ht="17.25" customHeight="1">
      <c r="A6" s="8"/>
      <c r="B6" s="8"/>
      <c r="C6" s="8"/>
      <c r="D6" s="8"/>
      <c r="E6" s="8"/>
      <c r="F6" s="8"/>
      <c r="G6" s="8"/>
      <c r="H6" s="8"/>
      <c r="I6" s="8"/>
      <c r="J6" s="8"/>
      <c r="K6" s="8"/>
      <c r="L6" s="8"/>
      <c r="M6" s="8"/>
    </row>
    <row r="7" spans="1:13">
      <c r="A7" s="796" t="s">
        <v>1786</v>
      </c>
      <c r="B7" s="796"/>
      <c r="C7" s="796"/>
      <c r="D7" s="796"/>
      <c r="E7" s="796"/>
      <c r="F7" s="796"/>
      <c r="G7" s="796"/>
      <c r="H7" s="796"/>
      <c r="I7" s="796"/>
      <c r="J7" s="796"/>
      <c r="K7" s="796"/>
      <c r="L7" s="796"/>
      <c r="M7" s="796"/>
    </row>
    <row r="8" spans="1:13" ht="26.25" customHeight="1">
      <c r="A8" s="125" t="s">
        <v>855</v>
      </c>
      <c r="B8" s="927" t="s">
        <v>18</v>
      </c>
      <c r="C8" s="927"/>
      <c r="D8" s="927"/>
      <c r="E8" s="125" t="s">
        <v>1787</v>
      </c>
      <c r="F8" s="125" t="s">
        <v>1788</v>
      </c>
      <c r="G8" s="125" t="s">
        <v>1789</v>
      </c>
      <c r="H8" s="126" t="s">
        <v>867</v>
      </c>
      <c r="I8" s="125" t="s">
        <v>865</v>
      </c>
      <c r="J8" s="751" t="s">
        <v>868</v>
      </c>
      <c r="K8" s="751"/>
      <c r="L8" s="751"/>
      <c r="M8" s="751"/>
    </row>
    <row r="9" spans="1:13" ht="15.75" customHeight="1">
      <c r="A9" s="1052"/>
      <c r="B9" s="869" t="s">
        <v>1790</v>
      </c>
      <c r="C9" s="1055"/>
      <c r="D9" s="1056"/>
      <c r="E9" s="1063" t="s">
        <v>1791</v>
      </c>
      <c r="F9" s="374" t="s">
        <v>1792</v>
      </c>
      <c r="G9" s="376" t="s">
        <v>1793</v>
      </c>
      <c r="H9" s="377">
        <v>14</v>
      </c>
      <c r="I9" s="1066" t="s">
        <v>1794</v>
      </c>
      <c r="J9" s="752">
        <f>ROUND(5103*Belarus*(1-B39),2)</f>
        <v>5103</v>
      </c>
      <c r="K9" s="752"/>
      <c r="L9" s="752"/>
      <c r="M9" s="752"/>
    </row>
    <row r="10" spans="1:13" ht="15.75" customHeight="1">
      <c r="A10" s="1053"/>
      <c r="B10" s="1057"/>
      <c r="C10" s="1058"/>
      <c r="D10" s="1059"/>
      <c r="E10" s="1064"/>
      <c r="F10" s="374" t="s">
        <v>1795</v>
      </c>
      <c r="G10" s="376" t="s">
        <v>1793</v>
      </c>
      <c r="H10" s="377">
        <v>20</v>
      </c>
      <c r="I10" s="1066"/>
      <c r="J10" s="752">
        <f>ROUND(7384*Belarus*(1-B39),2)</f>
        <v>7384</v>
      </c>
      <c r="K10" s="752"/>
      <c r="L10" s="752"/>
      <c r="M10" s="752"/>
    </row>
    <row r="11" spans="1:13" ht="16.5" customHeight="1">
      <c r="A11" s="1053"/>
      <c r="B11" s="1057"/>
      <c r="C11" s="1058"/>
      <c r="D11" s="1059"/>
      <c r="E11" s="1064"/>
      <c r="F11" s="374" t="s">
        <v>1796</v>
      </c>
      <c r="G11" s="376" t="s">
        <v>1793</v>
      </c>
      <c r="H11" s="377">
        <v>24</v>
      </c>
      <c r="I11" s="1066"/>
      <c r="J11" s="752">
        <f>ROUND(8794*Belarus*(1-B39),2)</f>
        <v>8794</v>
      </c>
      <c r="K11" s="752"/>
      <c r="L11" s="752"/>
      <c r="M11" s="752"/>
    </row>
    <row r="12" spans="1:13" ht="18" customHeight="1">
      <c r="A12" s="1054"/>
      <c r="B12" s="1060"/>
      <c r="C12" s="1061"/>
      <c r="D12" s="1062"/>
      <c r="E12" s="1065"/>
      <c r="F12" s="374" t="s">
        <v>1797</v>
      </c>
      <c r="G12" s="376" t="s">
        <v>1793</v>
      </c>
      <c r="H12" s="377">
        <v>27</v>
      </c>
      <c r="I12" s="1066"/>
      <c r="J12" s="752">
        <f>ROUND(9666*Belarus*(1-B39),2)</f>
        <v>9666</v>
      </c>
      <c r="K12" s="752"/>
      <c r="L12" s="752"/>
      <c r="M12" s="752"/>
    </row>
    <row r="13" spans="1:13" ht="26.25" customHeight="1">
      <c r="A13" s="371"/>
      <c r="B13" s="1013" t="s">
        <v>1798</v>
      </c>
      <c r="C13" s="1013"/>
      <c r="D13" s="1013"/>
      <c r="E13" s="1067" t="s">
        <v>51</v>
      </c>
      <c r="F13" s="1067"/>
      <c r="G13" s="1067"/>
      <c r="H13" s="378" t="s">
        <v>51</v>
      </c>
      <c r="I13" s="377" t="s">
        <v>51</v>
      </c>
      <c r="J13" s="752">
        <f>ROUND(27*Belarus*(1-B39),2)</f>
        <v>27</v>
      </c>
      <c r="K13" s="752"/>
      <c r="L13" s="752"/>
      <c r="M13" s="752"/>
    </row>
    <row r="14" spans="1:13">
      <c r="A14" s="796" t="s">
        <v>1799</v>
      </c>
      <c r="B14" s="796"/>
      <c r="C14" s="796"/>
      <c r="D14" s="796"/>
      <c r="E14" s="796"/>
      <c r="F14" s="796"/>
      <c r="G14" s="796"/>
      <c r="H14" s="796"/>
      <c r="I14" s="796"/>
      <c r="J14" s="796"/>
      <c r="K14" s="796"/>
      <c r="L14" s="796"/>
      <c r="M14" s="796"/>
    </row>
    <row r="15" spans="1:13" ht="24.75" customHeight="1">
      <c r="A15" s="469" t="s">
        <v>980</v>
      </c>
      <c r="B15" s="636" t="s">
        <v>18</v>
      </c>
      <c r="C15" s="636"/>
      <c r="D15" s="636"/>
      <c r="E15" s="469" t="s">
        <v>1800</v>
      </c>
      <c r="F15" s="469" t="s">
        <v>1801</v>
      </c>
      <c r="G15" s="636" t="s">
        <v>862</v>
      </c>
      <c r="H15" s="636"/>
      <c r="I15" s="636"/>
      <c r="J15" s="636" t="s">
        <v>103</v>
      </c>
      <c r="K15" s="636"/>
      <c r="L15" s="636"/>
      <c r="M15" s="636"/>
    </row>
    <row r="16" spans="1:13" ht="29.25" customHeight="1">
      <c r="A16" s="150"/>
      <c r="B16" s="1013" t="s">
        <v>1802</v>
      </c>
      <c r="C16" s="1013"/>
      <c r="D16" s="1013"/>
      <c r="E16" s="150" t="s">
        <v>1803</v>
      </c>
      <c r="F16" s="150" t="s">
        <v>1804</v>
      </c>
      <c r="G16" s="587" t="s">
        <v>1805</v>
      </c>
      <c r="H16" s="587"/>
      <c r="I16" s="587"/>
      <c r="J16" s="1051">
        <f>1170*Belarus</f>
        <v>1170</v>
      </c>
      <c r="K16" s="1051"/>
      <c r="L16" s="1051"/>
      <c r="M16" s="1051"/>
    </row>
    <row r="17" spans="1:13" ht="15.75" customHeight="1">
      <c r="A17" s="8"/>
      <c r="B17" s="8"/>
      <c r="C17" s="8"/>
      <c r="D17" s="8"/>
      <c r="E17" s="8"/>
      <c r="F17" s="8"/>
      <c r="G17" s="8"/>
      <c r="H17" s="8"/>
      <c r="I17" s="8"/>
      <c r="J17" s="8"/>
      <c r="K17" s="8"/>
      <c r="L17" s="8"/>
      <c r="M17" s="8"/>
    </row>
    <row r="18" spans="1:13">
      <c r="A18" s="796" t="s">
        <v>1</v>
      </c>
      <c r="B18" s="796"/>
      <c r="C18" s="796"/>
      <c r="D18" s="796"/>
      <c r="E18" s="796"/>
      <c r="F18" s="796"/>
      <c r="G18" s="796"/>
      <c r="H18" s="796"/>
      <c r="I18" s="796"/>
      <c r="J18" s="796"/>
      <c r="K18" s="796"/>
      <c r="L18" s="796"/>
      <c r="M18" s="796"/>
    </row>
    <row r="19" spans="1:13" ht="30" customHeight="1">
      <c r="A19" s="125" t="s">
        <v>855</v>
      </c>
      <c r="B19" s="927" t="s">
        <v>18</v>
      </c>
      <c r="C19" s="927"/>
      <c r="D19" s="927"/>
      <c r="E19" s="927" t="s">
        <v>864</v>
      </c>
      <c r="F19" s="927"/>
      <c r="G19" s="125" t="s">
        <v>1806</v>
      </c>
      <c r="H19" s="126" t="s">
        <v>857</v>
      </c>
      <c r="I19" s="125" t="s">
        <v>865</v>
      </c>
      <c r="J19" s="751" t="s">
        <v>868</v>
      </c>
      <c r="K19" s="751"/>
      <c r="L19" s="751"/>
      <c r="M19" s="751"/>
    </row>
    <row r="20" spans="1:13" s="124" customFormat="1" ht="39.75" customHeight="1">
      <c r="A20" s="359"/>
      <c r="B20" s="893" t="s">
        <v>1807</v>
      </c>
      <c r="C20" s="1049"/>
      <c r="D20" s="894"/>
      <c r="E20" s="852" t="s">
        <v>2141</v>
      </c>
      <c r="F20" s="853"/>
      <c r="G20" s="121">
        <v>17.5</v>
      </c>
      <c r="H20" s="360">
        <v>24</v>
      </c>
      <c r="I20" s="379" t="s">
        <v>859</v>
      </c>
      <c r="J20" s="949">
        <f>ROUND(3465*Belarus*(1-B39),2)</f>
        <v>3465</v>
      </c>
      <c r="K20" s="1050"/>
      <c r="L20" s="1050"/>
      <c r="M20" s="950"/>
    </row>
    <row r="21" spans="1:13" ht="30.75" customHeight="1">
      <c r="A21" s="849"/>
      <c r="B21" s="918" t="s">
        <v>1808</v>
      </c>
      <c r="C21" s="852" t="s">
        <v>1809</v>
      </c>
      <c r="D21" s="853"/>
      <c r="E21" s="852" t="s">
        <v>1810</v>
      </c>
      <c r="F21" s="853"/>
      <c r="G21" s="121">
        <v>7</v>
      </c>
      <c r="H21" s="924">
        <v>70</v>
      </c>
      <c r="I21" s="1019" t="s">
        <v>859</v>
      </c>
      <c r="J21" s="959">
        <f>ROUND(2713*Belarus*(1-B39),2)</f>
        <v>2713</v>
      </c>
      <c r="K21" s="1022"/>
      <c r="L21" s="1022"/>
      <c r="M21" s="960"/>
    </row>
    <row r="22" spans="1:13" ht="30.75" customHeight="1">
      <c r="A22" s="851"/>
      <c r="B22" s="920"/>
      <c r="C22" s="852" t="s">
        <v>1811</v>
      </c>
      <c r="D22" s="853"/>
      <c r="E22" s="852" t="s">
        <v>1812</v>
      </c>
      <c r="F22" s="853"/>
      <c r="G22" s="121">
        <v>3.2</v>
      </c>
      <c r="H22" s="926"/>
      <c r="I22" s="1020"/>
      <c r="J22" s="961"/>
      <c r="K22" s="1023"/>
      <c r="L22" s="1023"/>
      <c r="M22" s="962"/>
    </row>
    <row r="23" spans="1:13" ht="27.75" customHeight="1">
      <c r="A23" s="380"/>
      <c r="B23" s="1013" t="s">
        <v>1813</v>
      </c>
      <c r="C23" s="1013"/>
      <c r="D23" s="1013"/>
      <c r="E23" s="1040">
        <v>51</v>
      </c>
      <c r="F23" s="1040"/>
      <c r="G23" s="381">
        <v>0.13</v>
      </c>
      <c r="H23" s="152" t="s">
        <v>51</v>
      </c>
      <c r="I23" s="1021"/>
      <c r="J23" s="752">
        <f>ROUND(72*Belarus*(1-B39),2)</f>
        <v>72</v>
      </c>
      <c r="K23" s="752"/>
      <c r="L23" s="752"/>
      <c r="M23" s="752"/>
    </row>
    <row r="24" spans="1:13">
      <c r="A24" s="1024"/>
      <c r="B24" s="1026" t="s">
        <v>1814</v>
      </c>
      <c r="C24" s="1027"/>
      <c r="D24" s="1028"/>
      <c r="E24" s="1032" t="s">
        <v>1815</v>
      </c>
      <c r="F24" s="1033"/>
      <c r="G24" s="1036">
        <v>32</v>
      </c>
      <c r="H24" s="1038">
        <v>52</v>
      </c>
      <c r="I24" s="1041" t="s">
        <v>51</v>
      </c>
      <c r="J24" s="1043">
        <f>ROUND(578*Belarus*(1-B39),2)</f>
        <v>578</v>
      </c>
      <c r="K24" s="1044"/>
      <c r="L24" s="1044"/>
      <c r="M24" s="1045"/>
    </row>
    <row r="25" spans="1:13">
      <c r="A25" s="1025"/>
      <c r="B25" s="1029"/>
      <c r="C25" s="1030"/>
      <c r="D25" s="1031"/>
      <c r="E25" s="1034"/>
      <c r="F25" s="1035"/>
      <c r="G25" s="1037"/>
      <c r="H25" s="1039"/>
      <c r="I25" s="1042"/>
      <c r="J25" s="1046"/>
      <c r="K25" s="1047"/>
      <c r="L25" s="1047"/>
      <c r="M25" s="1048"/>
    </row>
    <row r="26" spans="1:13">
      <c r="A26" s="382" t="s">
        <v>1816</v>
      </c>
      <c r="B26" s="383"/>
      <c r="C26" s="383"/>
      <c r="D26" s="383"/>
      <c r="E26" s="384"/>
      <c r="F26" s="372"/>
      <c r="G26" s="5"/>
      <c r="H26" s="5"/>
      <c r="I26" s="385"/>
      <c r="J26" s="385"/>
      <c r="K26" s="385"/>
      <c r="L26" s="385"/>
      <c r="M26" s="385"/>
    </row>
    <row r="27" spans="1:13">
      <c r="A27" s="70"/>
      <c r="B27" s="70"/>
      <c r="C27" s="70"/>
      <c r="D27" s="70"/>
      <c r="E27" s="70"/>
      <c r="F27" s="70"/>
      <c r="G27" s="70"/>
      <c r="H27" s="70"/>
      <c r="I27" s="70"/>
      <c r="J27" s="70"/>
      <c r="K27" s="70"/>
      <c r="L27" s="70"/>
      <c r="M27" s="70"/>
    </row>
    <row r="28" spans="1:13" ht="27.75" customHeight="1">
      <c r="A28" s="125" t="s">
        <v>855</v>
      </c>
      <c r="B28" s="927" t="s">
        <v>18</v>
      </c>
      <c r="C28" s="927"/>
      <c r="D28" s="927"/>
      <c r="E28" s="125" t="s">
        <v>1817</v>
      </c>
      <c r="F28" s="125" t="s">
        <v>867</v>
      </c>
      <c r="G28" s="927" t="s">
        <v>856</v>
      </c>
      <c r="H28" s="927"/>
      <c r="I28" s="751" t="s">
        <v>868</v>
      </c>
      <c r="J28" s="751"/>
      <c r="K28" s="751"/>
      <c r="L28" s="751"/>
      <c r="M28" s="751"/>
    </row>
    <row r="29" spans="1:13" ht="27.75" customHeight="1">
      <c r="A29" s="380"/>
      <c r="B29" s="1013" t="s">
        <v>1818</v>
      </c>
      <c r="C29" s="1013"/>
      <c r="D29" s="1013"/>
      <c r="E29" s="375" t="s">
        <v>1819</v>
      </c>
      <c r="F29" s="371">
        <v>5.6</v>
      </c>
      <c r="G29" s="1014" t="s">
        <v>1820</v>
      </c>
      <c r="H29" s="1014"/>
      <c r="I29" s="1018" t="str">
        <f>ROUND(357*Belarus*(1-D39),2)&amp; " (НН)"</f>
        <v>357 (НН)</v>
      </c>
      <c r="J29" s="1018"/>
      <c r="K29" s="1018"/>
      <c r="L29" s="1018"/>
      <c r="M29" s="1018"/>
    </row>
    <row r="30" spans="1:13" ht="24" customHeight="1">
      <c r="A30" s="380"/>
      <c r="B30" s="1013" t="s">
        <v>1818</v>
      </c>
      <c r="C30" s="1013"/>
      <c r="D30" s="1013"/>
      <c r="E30" s="375" t="s">
        <v>1821</v>
      </c>
      <c r="F30" s="371">
        <v>11.2</v>
      </c>
      <c r="G30" s="1014"/>
      <c r="H30" s="1014"/>
      <c r="I30" s="1015" t="str">
        <f>ROUND(663*Belarus*(1-D39),2)&amp; " (НН)"</f>
        <v>663 (НН)</v>
      </c>
      <c r="J30" s="1016"/>
      <c r="K30" s="1016"/>
      <c r="L30" s="1016"/>
      <c r="M30" s="1017"/>
    </row>
    <row r="31" spans="1:13" ht="25.5" customHeight="1">
      <c r="A31" s="374"/>
      <c r="B31" s="1013" t="s">
        <v>1822</v>
      </c>
      <c r="C31" s="1013"/>
      <c r="D31" s="1013"/>
      <c r="E31" s="375" t="s">
        <v>981</v>
      </c>
      <c r="F31" s="371" t="s">
        <v>51</v>
      </c>
      <c r="G31" s="1014" t="s">
        <v>1823</v>
      </c>
      <c r="H31" s="1014"/>
      <c r="I31" s="1015" t="str">
        <f>ROUND(41*Belarus*(1-D39),2)&amp; " (НН)"</f>
        <v>41 (НН)</v>
      </c>
      <c r="J31" s="1016"/>
      <c r="K31" s="1016"/>
      <c r="L31" s="1016"/>
      <c r="M31" s="1017"/>
    </row>
    <row r="32" spans="1:13">
      <c r="A32" s="8" t="s">
        <v>1824</v>
      </c>
      <c r="B32" s="70"/>
      <c r="C32" s="70"/>
      <c r="D32" s="70"/>
      <c r="E32" s="70"/>
      <c r="F32" s="70"/>
      <c r="G32" s="70"/>
      <c r="H32" s="70"/>
      <c r="I32" s="70"/>
      <c r="J32" s="70"/>
      <c r="K32" s="70"/>
      <c r="L32" s="70"/>
      <c r="M32" s="70"/>
    </row>
    <row r="33" spans="1:13">
      <c r="A33" s="8"/>
      <c r="B33" s="8"/>
      <c r="C33" s="8"/>
      <c r="D33" s="8"/>
      <c r="E33" s="8"/>
      <c r="F33" s="8"/>
      <c r="G33" s="8"/>
      <c r="H33" s="8"/>
      <c r="I33" s="8"/>
      <c r="J33" s="8"/>
      <c r="K33" s="8"/>
      <c r="L33" s="8"/>
      <c r="M33" s="8"/>
    </row>
    <row r="34" spans="1:13">
      <c r="A34" s="147" t="s">
        <v>851</v>
      </c>
      <c r="B34" s="8"/>
      <c r="C34" s="8"/>
      <c r="D34" s="8"/>
      <c r="E34" s="8"/>
      <c r="F34" s="8"/>
      <c r="G34" s="8"/>
      <c r="H34" s="8"/>
      <c r="I34" s="8"/>
      <c r="J34" s="8"/>
      <c r="K34" s="8"/>
      <c r="L34" s="8"/>
      <c r="M34" s="8"/>
    </row>
    <row r="35" spans="1:13">
      <c r="A35" s="8"/>
      <c r="B35" s="8"/>
      <c r="C35" s="8"/>
      <c r="D35" s="8"/>
      <c r="E35" s="8"/>
      <c r="F35" s="8"/>
      <c r="G35" s="8"/>
      <c r="H35" s="8"/>
      <c r="I35" s="8"/>
      <c r="J35" s="8"/>
      <c r="K35" s="8"/>
      <c r="L35" s="8"/>
      <c r="M35" s="8"/>
    </row>
    <row r="36" spans="1:13">
      <c r="A36" s="8"/>
      <c r="B36" s="8"/>
      <c r="C36" s="8"/>
      <c r="D36" s="8"/>
      <c r="E36" s="8"/>
      <c r="F36" s="8"/>
      <c r="G36" s="8"/>
      <c r="H36" s="8"/>
      <c r="I36" s="8"/>
      <c r="J36" s="8"/>
      <c r="K36" s="8"/>
      <c r="L36" s="8"/>
      <c r="M36" s="8"/>
    </row>
    <row r="37" spans="1:13">
      <c r="A37" s="740" t="s">
        <v>854</v>
      </c>
      <c r="B37" s="739" t="s">
        <v>1825</v>
      </c>
      <c r="C37" s="739"/>
      <c r="D37" s="739" t="s">
        <v>1826</v>
      </c>
      <c r="E37" s="739"/>
      <c r="F37" s="8"/>
      <c r="G37" s="8"/>
      <c r="H37" s="8"/>
      <c r="I37" s="8"/>
      <c r="J37" s="8"/>
      <c r="K37" s="8"/>
      <c r="L37" s="8"/>
      <c r="M37" s="8"/>
    </row>
    <row r="38" spans="1:13">
      <c r="A38" s="740"/>
      <c r="B38" s="739"/>
      <c r="C38" s="739"/>
      <c r="D38" s="739"/>
      <c r="E38" s="739"/>
      <c r="F38" s="8"/>
      <c r="G38" s="8"/>
      <c r="H38" s="8"/>
      <c r="I38" s="8"/>
      <c r="J38" s="8"/>
      <c r="K38" s="8"/>
      <c r="L38" s="8"/>
      <c r="M38" s="8"/>
    </row>
    <row r="39" spans="1:13">
      <c r="A39" s="740"/>
      <c r="B39" s="543">
        <v>0</v>
      </c>
      <c r="C39" s="543"/>
      <c r="D39" s="543">
        <v>0</v>
      </c>
      <c r="E39" s="543"/>
      <c r="F39" s="8"/>
      <c r="G39" s="8"/>
      <c r="H39" s="8"/>
      <c r="I39" s="8"/>
      <c r="J39" s="8"/>
      <c r="K39" s="8"/>
      <c r="L39" s="8"/>
      <c r="M39" s="8"/>
    </row>
    <row r="41" spans="1:13">
      <c r="A41" s="281" t="s">
        <v>2139</v>
      </c>
    </row>
  </sheetData>
  <sheetProtection selectLockedCells="1" selectUnlockedCells="1"/>
  <mergeCells count="69">
    <mergeCell ref="J5:M5"/>
    <mergeCell ref="A1:D1"/>
    <mergeCell ref="A2:F2"/>
    <mergeCell ref="J2:M2"/>
    <mergeCell ref="A3:M3"/>
    <mergeCell ref="A4:M4"/>
    <mergeCell ref="A7:M7"/>
    <mergeCell ref="B8:D8"/>
    <mergeCell ref="J8:M8"/>
    <mergeCell ref="A9:A12"/>
    <mergeCell ref="B9:D12"/>
    <mergeCell ref="E9:E12"/>
    <mergeCell ref="I9:I12"/>
    <mergeCell ref="J9:M9"/>
    <mergeCell ref="J10:M10"/>
    <mergeCell ref="J11:M11"/>
    <mergeCell ref="J12:M12"/>
    <mergeCell ref="J13:M13"/>
    <mergeCell ref="A14:M14"/>
    <mergeCell ref="B16:D16"/>
    <mergeCell ref="G16:I16"/>
    <mergeCell ref="J16:M16"/>
    <mergeCell ref="B15:D15"/>
    <mergeCell ref="G15:I15"/>
    <mergeCell ref="J15:M15"/>
    <mergeCell ref="B13:D13"/>
    <mergeCell ref="E13:G13"/>
    <mergeCell ref="C21:D21"/>
    <mergeCell ref="E21:F21"/>
    <mergeCell ref="H21:H22"/>
    <mergeCell ref="A18:M18"/>
    <mergeCell ref="B19:D19"/>
    <mergeCell ref="E19:F19"/>
    <mergeCell ref="J19:M19"/>
    <mergeCell ref="B20:D20"/>
    <mergeCell ref="E20:F20"/>
    <mergeCell ref="J20:M20"/>
    <mergeCell ref="I21:I23"/>
    <mergeCell ref="J21:M22"/>
    <mergeCell ref="A24:A25"/>
    <mergeCell ref="B24:D25"/>
    <mergeCell ref="E24:F25"/>
    <mergeCell ref="G24:G25"/>
    <mergeCell ref="H24:H25"/>
    <mergeCell ref="C22:D22"/>
    <mergeCell ref="E22:F22"/>
    <mergeCell ref="B23:D23"/>
    <mergeCell ref="E23:F23"/>
    <mergeCell ref="J23:M23"/>
    <mergeCell ref="I24:I25"/>
    <mergeCell ref="J24:M25"/>
    <mergeCell ref="A21:A22"/>
    <mergeCell ref="B21:B22"/>
    <mergeCell ref="B28:D28"/>
    <mergeCell ref="G28:H28"/>
    <mergeCell ref="I28:M28"/>
    <mergeCell ref="B31:D31"/>
    <mergeCell ref="G31:H31"/>
    <mergeCell ref="I31:M31"/>
    <mergeCell ref="B29:D29"/>
    <mergeCell ref="G29:H30"/>
    <mergeCell ref="I29:M29"/>
    <mergeCell ref="B30:D30"/>
    <mergeCell ref="I30:M30"/>
    <mergeCell ref="A37:A39"/>
    <mergeCell ref="B37:C38"/>
    <mergeCell ref="D37:E38"/>
    <mergeCell ref="B39:C39"/>
    <mergeCell ref="D39:E39"/>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78"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xl/worksheets/sheet8.xml><?xml version="1.0" encoding="utf-8"?>
<worksheet xmlns="http://schemas.openxmlformats.org/spreadsheetml/2006/main" xmlns:r="http://schemas.openxmlformats.org/officeDocument/2006/relationships">
  <sheetPr>
    <tabColor indexed="50"/>
    <pageSetUpPr fitToPage="1"/>
  </sheetPr>
  <dimension ref="A1:S38"/>
  <sheetViews>
    <sheetView zoomScale="75" zoomScaleNormal="75" zoomScaleSheetLayoutView="75" workbookViewId="0">
      <selection sqref="A1:D1"/>
    </sheetView>
  </sheetViews>
  <sheetFormatPr defaultRowHeight="15"/>
  <cols>
    <col min="1" max="1" width="26.85546875" style="470" customWidth="1"/>
    <col min="2" max="2" width="16.140625" style="470" customWidth="1"/>
    <col min="3" max="3" width="13.140625" style="470" customWidth="1"/>
    <col min="4" max="4" width="9.28515625" style="470" customWidth="1"/>
    <col min="5" max="5" width="10.7109375" style="470" customWidth="1"/>
    <col min="6" max="6" width="11.7109375" style="470" customWidth="1"/>
    <col min="7" max="7" width="9.140625" style="470" customWidth="1"/>
    <col min="8" max="8" width="11" style="470" customWidth="1"/>
    <col min="9" max="9" width="24.7109375" style="470" customWidth="1"/>
    <col min="10" max="10" width="3.5703125" style="470" customWidth="1"/>
    <col min="11" max="11" width="26.28515625" style="470" customWidth="1"/>
    <col min="12" max="12" width="16" style="470" customWidth="1"/>
    <col min="13" max="13" width="14.5703125" style="470" customWidth="1"/>
    <col min="14" max="14" width="9.140625" style="470" customWidth="1"/>
    <col min="15" max="15" width="11" style="470" customWidth="1"/>
    <col min="16" max="16" width="10.140625" style="470" customWidth="1"/>
    <col min="17" max="18" width="8.42578125" style="470" customWidth="1"/>
    <col min="19" max="19" width="21.140625" style="470" customWidth="1"/>
    <col min="20" max="16384" width="9.140625" style="470"/>
  </cols>
  <sheetData>
    <row r="1" spans="1:19" ht="12.75" customHeight="1">
      <c r="A1" s="689" t="s">
        <v>19</v>
      </c>
      <c r="B1" s="689"/>
      <c r="C1" s="689"/>
      <c r="D1" s="689"/>
      <c r="E1" s="8"/>
      <c r="F1" s="8"/>
      <c r="G1" s="8"/>
      <c r="H1" s="8"/>
      <c r="I1" s="8"/>
      <c r="J1" s="8"/>
      <c r="K1" s="8"/>
      <c r="L1" s="8"/>
      <c r="M1" s="8"/>
      <c r="N1" s="8"/>
      <c r="O1" s="8"/>
      <c r="P1" s="8"/>
      <c r="Q1" s="8"/>
      <c r="R1" s="8"/>
      <c r="S1" s="8"/>
    </row>
    <row r="2" spans="1:19" ht="13.5" customHeight="1">
      <c r="A2" s="96"/>
      <c r="B2" s="154"/>
      <c r="C2" s="1"/>
      <c r="D2" s="1"/>
      <c r="E2" s="1"/>
      <c r="F2" s="1"/>
      <c r="G2" s="1"/>
      <c r="H2" s="8"/>
      <c r="I2" s="8"/>
      <c r="J2" s="1"/>
      <c r="K2" s="1"/>
      <c r="L2" s="1"/>
      <c r="M2" s="1"/>
      <c r="N2" s="1"/>
      <c r="O2" s="1"/>
      <c r="P2" s="1"/>
      <c r="R2" s="155" t="s">
        <v>20</v>
      </c>
      <c r="S2" s="6">
        <v>43920</v>
      </c>
    </row>
    <row r="3" spans="1:19" ht="27.75" customHeight="1" thickBot="1">
      <c r="A3" s="523" t="s">
        <v>1691</v>
      </c>
      <c r="B3" s="523"/>
      <c r="C3" s="523"/>
      <c r="D3" s="523"/>
      <c r="E3" s="523"/>
      <c r="F3" s="523"/>
      <c r="G3" s="523"/>
      <c r="H3" s="523"/>
      <c r="I3" s="523"/>
      <c r="J3" s="523"/>
      <c r="K3" s="523"/>
      <c r="L3" s="523"/>
      <c r="M3" s="523"/>
      <c r="N3" s="523"/>
      <c r="O3" s="523"/>
      <c r="P3" s="523"/>
      <c r="Q3" s="523"/>
      <c r="R3" s="523"/>
      <c r="S3" s="523"/>
    </row>
    <row r="4" spans="1:19" ht="33" customHeight="1">
      <c r="A4" s="859" t="s">
        <v>1514</v>
      </c>
      <c r="B4" s="859"/>
      <c r="C4" s="859"/>
      <c r="D4" s="859"/>
      <c r="E4" s="859"/>
      <c r="F4" s="859"/>
      <c r="G4" s="859"/>
      <c r="H4" s="859"/>
      <c r="I4" s="859"/>
      <c r="J4" s="859"/>
      <c r="K4" s="859"/>
      <c r="L4" s="859"/>
      <c r="M4" s="859"/>
      <c r="N4" s="859"/>
      <c r="O4" s="859"/>
      <c r="P4" s="859"/>
      <c r="Q4" s="859"/>
      <c r="R4" s="859"/>
      <c r="S4" s="859"/>
    </row>
    <row r="5" spans="1:19" ht="15.75" customHeight="1">
      <c r="A5" s="1011"/>
      <c r="B5" s="1012"/>
      <c r="C5" s="1012"/>
      <c r="D5" s="1012"/>
      <c r="E5" s="1012"/>
      <c r="F5" s="1012"/>
      <c r="G5" s="1012"/>
      <c r="H5" s="1012"/>
      <c r="I5" s="1012"/>
      <c r="J5" s="1012"/>
      <c r="K5" s="1012"/>
      <c r="L5" s="1012"/>
      <c r="M5" s="1012"/>
      <c r="N5" s="1012"/>
      <c r="O5" s="1012"/>
      <c r="P5" s="1012"/>
      <c r="Q5" s="1012"/>
      <c r="R5" s="1012"/>
      <c r="S5" s="1012"/>
    </row>
    <row r="6" spans="1:19" ht="15.75" customHeight="1">
      <c r="A6" s="116"/>
      <c r="B6" s="116"/>
      <c r="C6" s="122"/>
      <c r="D6" s="116"/>
      <c r="E6" s="116"/>
      <c r="F6" s="116"/>
      <c r="G6" s="116"/>
      <c r="H6" s="116"/>
      <c r="I6" s="116"/>
      <c r="J6" s="122"/>
      <c r="K6" s="116"/>
      <c r="L6" s="116"/>
      <c r="M6" s="122"/>
      <c r="N6" s="116"/>
      <c r="O6" s="116"/>
      <c r="P6" s="116"/>
      <c r="Q6" s="116"/>
      <c r="R6" s="156" t="s">
        <v>849</v>
      </c>
      <c r="S6" s="157">
        <v>43920</v>
      </c>
    </row>
    <row r="7" spans="1:19">
      <c r="A7" s="514" t="s">
        <v>855</v>
      </c>
      <c r="B7" s="513" t="s">
        <v>982</v>
      </c>
      <c r="C7" s="676" t="s">
        <v>979</v>
      </c>
      <c r="D7" s="513" t="s">
        <v>983</v>
      </c>
      <c r="E7" s="505" t="s">
        <v>984</v>
      </c>
      <c r="F7" s="521"/>
      <c r="G7" s="513" t="s">
        <v>985</v>
      </c>
      <c r="H7" s="513"/>
      <c r="I7" s="513" t="s">
        <v>986</v>
      </c>
      <c r="J7" s="8"/>
      <c r="K7" s="514" t="s">
        <v>855</v>
      </c>
      <c r="L7" s="513" t="s">
        <v>982</v>
      </c>
      <c r="M7" s="676" t="s">
        <v>979</v>
      </c>
      <c r="N7" s="513" t="s">
        <v>983</v>
      </c>
      <c r="O7" s="514" t="s">
        <v>984</v>
      </c>
      <c r="P7" s="514"/>
      <c r="Q7" s="513" t="s">
        <v>987</v>
      </c>
      <c r="R7" s="513"/>
      <c r="S7" s="514" t="s">
        <v>986</v>
      </c>
    </row>
    <row r="8" spans="1:19">
      <c r="A8" s="514"/>
      <c r="B8" s="513"/>
      <c r="C8" s="722"/>
      <c r="D8" s="513"/>
      <c r="E8" s="46">
        <v>4</v>
      </c>
      <c r="F8" s="46">
        <v>6</v>
      </c>
      <c r="G8" s="513"/>
      <c r="H8" s="513"/>
      <c r="I8" s="513"/>
      <c r="J8" s="8"/>
      <c r="K8" s="514"/>
      <c r="L8" s="513"/>
      <c r="M8" s="722"/>
      <c r="N8" s="513"/>
      <c r="O8" s="46">
        <v>3.5</v>
      </c>
      <c r="P8" s="46">
        <v>4.5</v>
      </c>
      <c r="Q8" s="513"/>
      <c r="R8" s="513"/>
      <c r="S8" s="514"/>
    </row>
    <row r="9" spans="1:19" ht="76.5" customHeight="1">
      <c r="A9" s="522"/>
      <c r="B9" s="568" t="s">
        <v>988</v>
      </c>
      <c r="C9" s="568" t="s">
        <v>989</v>
      </c>
      <c r="D9" s="630">
        <v>2.0299999999999998</v>
      </c>
      <c r="E9" s="151">
        <f>ROUND(85779*Belarus*(1-C36),2)</f>
        <v>85779</v>
      </c>
      <c r="F9" s="151">
        <f>ROUND(128665*Belarus*(1-C36),2)</f>
        <v>128665</v>
      </c>
      <c r="G9" s="536" t="s">
        <v>990</v>
      </c>
      <c r="H9" s="536"/>
      <c r="I9" s="587" t="s">
        <v>1930</v>
      </c>
      <c r="J9" s="8"/>
      <c r="K9" s="522"/>
      <c r="L9" s="100" t="s">
        <v>1931</v>
      </c>
      <c r="M9" s="587" t="s">
        <v>1928</v>
      </c>
      <c r="N9" s="158">
        <v>2</v>
      </c>
      <c r="O9" s="151">
        <f>ROUND(60848*Belarus*(1-C36),2)</f>
        <v>60848</v>
      </c>
      <c r="P9" s="151">
        <f>ROUND(78231*Belarus*(1-C36),2)</f>
        <v>78231</v>
      </c>
      <c r="Q9" s="536" t="s">
        <v>991</v>
      </c>
      <c r="R9" s="536"/>
      <c r="S9" s="536" t="s">
        <v>992</v>
      </c>
    </row>
    <row r="10" spans="1:19" ht="20.25" customHeight="1">
      <c r="A10" s="522"/>
      <c r="B10" s="568"/>
      <c r="C10" s="568"/>
      <c r="D10" s="742"/>
      <c r="E10" s="720" t="s">
        <v>993</v>
      </c>
      <c r="F10" s="1079"/>
      <c r="G10" s="536"/>
      <c r="H10" s="536"/>
      <c r="I10" s="587"/>
      <c r="J10" s="8"/>
      <c r="K10" s="522"/>
      <c r="L10" s="490" t="s">
        <v>1932</v>
      </c>
      <c r="M10" s="587"/>
      <c r="N10" s="1080">
        <v>2</v>
      </c>
      <c r="O10" s="1051">
        <f>ROUND(69542*Belarus*(1-C36),2)</f>
        <v>69542</v>
      </c>
      <c r="P10" s="1051">
        <f>ROUND(89408*Belarus*(1-C36),2)</f>
        <v>89408</v>
      </c>
      <c r="Q10" s="536"/>
      <c r="R10" s="536"/>
      <c r="S10" s="536"/>
    </row>
    <row r="11" spans="1:19" ht="64.5" customHeight="1">
      <c r="A11" s="522"/>
      <c r="B11" s="568"/>
      <c r="C11" s="568"/>
      <c r="D11" s="631"/>
      <c r="E11" s="52" t="s">
        <v>994</v>
      </c>
      <c r="F11" s="52" t="s">
        <v>994</v>
      </c>
      <c r="G11" s="536"/>
      <c r="H11" s="536"/>
      <c r="I11" s="587"/>
      <c r="J11" s="8"/>
      <c r="K11" s="522"/>
      <c r="L11" s="490"/>
      <c r="M11" s="587"/>
      <c r="N11" s="1080"/>
      <c r="O11" s="1051"/>
      <c r="P11" s="1051"/>
      <c r="Q11" s="536"/>
      <c r="R11" s="536"/>
      <c r="S11" s="536"/>
    </row>
    <row r="12" spans="1:19" ht="16.5" customHeight="1">
      <c r="A12" s="159" t="s">
        <v>995</v>
      </c>
      <c r="B12" s="8"/>
      <c r="C12" s="8"/>
      <c r="D12" s="8"/>
      <c r="E12" s="8"/>
      <c r="F12" s="8"/>
      <c r="G12" s="8"/>
      <c r="H12" s="8"/>
      <c r="I12" s="8"/>
      <c r="J12" s="8"/>
      <c r="K12" s="825" t="s">
        <v>1585</v>
      </c>
      <c r="L12" s="825"/>
      <c r="M12" s="825"/>
      <c r="N12" s="825"/>
      <c r="O12" s="825"/>
      <c r="P12" s="825"/>
      <c r="Q12" s="825"/>
      <c r="R12" s="825"/>
      <c r="S12" s="825"/>
    </row>
    <row r="13" spans="1:19" ht="12.75" customHeight="1">
      <c r="A13" s="98"/>
      <c r="B13" s="98"/>
      <c r="C13" s="98"/>
      <c r="D13" s="98"/>
      <c r="E13" s="98"/>
      <c r="F13" s="98"/>
      <c r="G13" s="98"/>
      <c r="H13" s="98"/>
      <c r="I13" s="98"/>
      <c r="J13" s="8"/>
      <c r="K13" s="160"/>
      <c r="L13" s="42"/>
      <c r="M13" s="42"/>
      <c r="N13" s="42"/>
      <c r="O13" s="42"/>
      <c r="P13" s="42"/>
      <c r="Q13" s="42"/>
      <c r="R13" s="42"/>
      <c r="S13" s="161"/>
    </row>
    <row r="14" spans="1:19" ht="12.75" customHeight="1">
      <c r="A14" s="162"/>
      <c r="B14" s="162"/>
      <c r="C14" s="162"/>
      <c r="D14" s="162"/>
      <c r="E14" s="163"/>
      <c r="F14" s="164"/>
      <c r="G14" s="163"/>
      <c r="H14" s="162"/>
      <c r="I14" s="162"/>
      <c r="J14" s="8"/>
      <c r="K14" s="40"/>
      <c r="L14" s="40"/>
      <c r="M14" s="40"/>
      <c r="N14" s="40"/>
      <c r="O14" s="40"/>
      <c r="P14" s="40"/>
      <c r="Q14" s="40"/>
      <c r="R14" s="40"/>
      <c r="S14" s="40"/>
    </row>
    <row r="15" spans="1:19" ht="30" customHeight="1">
      <c r="A15" s="775" t="s">
        <v>996</v>
      </c>
      <c r="B15" s="775"/>
      <c r="C15" s="775"/>
      <c r="D15" s="775"/>
      <c r="E15" s="775"/>
      <c r="F15" s="775"/>
      <c r="G15" s="775"/>
      <c r="H15" s="775"/>
      <c r="I15" s="467" t="s">
        <v>997</v>
      </c>
      <c r="J15" s="8"/>
      <c r="K15" s="775" t="s">
        <v>998</v>
      </c>
      <c r="L15" s="775"/>
      <c r="M15" s="775"/>
      <c r="N15" s="775"/>
      <c r="O15" s="775"/>
      <c r="P15" s="775"/>
      <c r="Q15" s="775"/>
      <c r="R15" s="775"/>
      <c r="S15" s="46" t="s">
        <v>103</v>
      </c>
    </row>
    <row r="16" spans="1:19" ht="84" customHeight="1">
      <c r="A16" s="509" t="s">
        <v>999</v>
      </c>
      <c r="B16" s="509"/>
      <c r="C16" s="509"/>
      <c r="D16" s="509"/>
      <c r="E16" s="509"/>
      <c r="F16" s="509"/>
      <c r="G16" s="509"/>
      <c r="H16" s="509"/>
      <c r="I16" s="151">
        <f>ROUND(33566*Belarus*(1-C36),2)</f>
        <v>33566</v>
      </c>
      <c r="J16" s="8"/>
      <c r="K16" s="149" t="s">
        <v>1000</v>
      </c>
      <c r="L16" s="165"/>
      <c r="M16" s="166" t="s">
        <v>1001</v>
      </c>
      <c r="N16" s="1076"/>
      <c r="O16" s="1076"/>
      <c r="P16" s="1076"/>
      <c r="Q16" s="687" t="s">
        <v>1002</v>
      </c>
      <c r="R16" s="687"/>
      <c r="S16" s="151">
        <f>ROUND(1496*Belarus*(1-C36),2)</f>
        <v>1496</v>
      </c>
    </row>
    <row r="17" spans="1:19">
      <c r="A17" s="775" t="s">
        <v>1003</v>
      </c>
      <c r="B17" s="775"/>
      <c r="C17" s="775"/>
      <c r="D17" s="775"/>
      <c r="E17" s="775"/>
      <c r="F17" s="775"/>
      <c r="G17" s="775"/>
      <c r="H17" s="775"/>
      <c r="I17" s="775"/>
      <c r="J17" s="8"/>
      <c r="K17" s="641" t="s">
        <v>1004</v>
      </c>
      <c r="L17" s="661"/>
      <c r="M17" s="1076" t="s">
        <v>1005</v>
      </c>
      <c r="N17" s="1076"/>
      <c r="O17" s="1076"/>
      <c r="P17" s="1076"/>
      <c r="Q17" s="687" t="s">
        <v>1006</v>
      </c>
      <c r="R17" s="687"/>
      <c r="S17" s="1051">
        <f>ROUND(530*Belarus*(1-C36),2)</f>
        <v>530</v>
      </c>
    </row>
    <row r="18" spans="1:19" ht="25.5" customHeight="1">
      <c r="A18" s="626" t="s">
        <v>1007</v>
      </c>
      <c r="B18" s="991"/>
      <c r="C18" s="991"/>
      <c r="D18" s="991"/>
      <c r="E18" s="991"/>
      <c r="F18" s="991"/>
      <c r="G18" s="991"/>
      <c r="H18" s="627"/>
      <c r="I18" s="1070">
        <f>ROUND(15916*Belarus*(1-C36),2)</f>
        <v>15916</v>
      </c>
      <c r="J18" s="8"/>
      <c r="K18" s="641"/>
      <c r="L18" s="661"/>
      <c r="M18" s="1076"/>
      <c r="N18" s="1076"/>
      <c r="O18" s="1076"/>
      <c r="P18" s="1076"/>
      <c r="Q18" s="687"/>
      <c r="R18" s="687"/>
      <c r="S18" s="1051"/>
    </row>
    <row r="19" spans="1:19" ht="19.5" customHeight="1">
      <c r="A19" s="992"/>
      <c r="B19" s="993"/>
      <c r="C19" s="993"/>
      <c r="D19" s="993"/>
      <c r="E19" s="993"/>
      <c r="F19" s="993"/>
      <c r="G19" s="993"/>
      <c r="H19" s="994"/>
      <c r="I19" s="1077"/>
      <c r="J19" s="8"/>
      <c r="K19" s="1078" t="s">
        <v>1008</v>
      </c>
      <c r="L19" s="1078"/>
      <c r="M19" s="775"/>
      <c r="N19" s="1078"/>
      <c r="O19" s="1078"/>
      <c r="P19" s="1078"/>
      <c r="Q19" s="1078"/>
      <c r="R19" s="1078"/>
      <c r="S19" s="167" t="s">
        <v>103</v>
      </c>
    </row>
    <row r="20" spans="1:19" ht="44.25" customHeight="1">
      <c r="A20" s="628"/>
      <c r="B20" s="995"/>
      <c r="C20" s="995"/>
      <c r="D20" s="995"/>
      <c r="E20" s="995"/>
      <c r="F20" s="995"/>
      <c r="G20" s="995"/>
      <c r="H20" s="629"/>
      <c r="I20" s="1071"/>
      <c r="J20" s="8"/>
      <c r="K20" s="108"/>
      <c r="L20" s="620" t="s">
        <v>1669</v>
      </c>
      <c r="M20" s="704"/>
      <c r="N20" s="704"/>
      <c r="O20" s="704"/>
      <c r="P20" s="704"/>
      <c r="Q20" s="704"/>
      <c r="R20" s="621"/>
      <c r="S20" s="151">
        <f>ROUND(3308*Belarus*(1-C36),2)</f>
        <v>3308</v>
      </c>
    </row>
    <row r="21" spans="1:19" ht="26.25" customHeight="1">
      <c r="A21" s="795" t="s">
        <v>1009</v>
      </c>
      <c r="B21" s="795"/>
      <c r="C21" s="795"/>
      <c r="D21" s="795"/>
      <c r="E21" s="795"/>
      <c r="F21" s="795"/>
      <c r="G21" s="795"/>
      <c r="H21" s="795"/>
      <c r="I21" s="795"/>
      <c r="J21" s="8"/>
      <c r="K21" s="657"/>
      <c r="L21" s="510" t="s">
        <v>1670</v>
      </c>
      <c r="M21" s="510"/>
      <c r="N21" s="510"/>
      <c r="O21" s="510"/>
      <c r="P21" s="510"/>
      <c r="Q21" s="510"/>
      <c r="R21" s="510"/>
      <c r="S21" s="1051">
        <f>ROUND(1460*Belarus*(1-C36),2)</f>
        <v>1460</v>
      </c>
    </row>
    <row r="22" spans="1:19" ht="15.75" customHeight="1">
      <c r="A22" s="657"/>
      <c r="B22" s="509" t="s">
        <v>1010</v>
      </c>
      <c r="C22" s="1076" t="s">
        <v>1011</v>
      </c>
      <c r="D22" s="1072" t="s">
        <v>13</v>
      </c>
      <c r="E22" s="1072"/>
      <c r="F22" s="1072"/>
      <c r="G22" s="1072" t="s">
        <v>970</v>
      </c>
      <c r="H22" s="1072"/>
      <c r="I22" s="1051">
        <f>ROUND(15308*Belarus*(1-C36),2)</f>
        <v>15308</v>
      </c>
      <c r="J22" s="8"/>
      <c r="K22" s="657"/>
      <c r="L22" s="510"/>
      <c r="M22" s="510"/>
      <c r="N22" s="510"/>
      <c r="O22" s="510"/>
      <c r="P22" s="510"/>
      <c r="Q22" s="510"/>
      <c r="R22" s="510"/>
      <c r="S22" s="1051"/>
    </row>
    <row r="23" spans="1:19" ht="31.5" customHeight="1">
      <c r="A23" s="657"/>
      <c r="B23" s="509"/>
      <c r="C23" s="1076"/>
      <c r="D23" s="1072" t="s">
        <v>1012</v>
      </c>
      <c r="E23" s="1072"/>
      <c r="F23" s="1072"/>
      <c r="G23" s="1072" t="s">
        <v>1013</v>
      </c>
      <c r="H23" s="1072"/>
      <c r="I23" s="1051"/>
      <c r="J23" s="8"/>
      <c r="K23" s="657"/>
      <c r="L23" s="620" t="s">
        <v>1671</v>
      </c>
      <c r="M23" s="704"/>
      <c r="N23" s="704"/>
      <c r="O23" s="704"/>
      <c r="P23" s="704"/>
      <c r="Q23" s="704"/>
      <c r="R23" s="621"/>
      <c r="S23" s="482">
        <f>ROUND(4725*Belarus*(1-C36),2)</f>
        <v>4725</v>
      </c>
    </row>
    <row r="24" spans="1:19" ht="30.75" customHeight="1">
      <c r="A24" s="657"/>
      <c r="B24" s="509"/>
      <c r="C24" s="1076"/>
      <c r="D24" s="1072" t="s">
        <v>1014</v>
      </c>
      <c r="E24" s="1072"/>
      <c r="F24" s="1072"/>
      <c r="G24" s="1072" t="s">
        <v>1015</v>
      </c>
      <c r="H24" s="1072"/>
      <c r="I24" s="1051"/>
      <c r="J24" s="8"/>
      <c r="K24" s="643"/>
      <c r="L24" s="609" t="s">
        <v>1672</v>
      </c>
      <c r="M24" s="610"/>
      <c r="N24" s="610"/>
      <c r="O24" s="610"/>
      <c r="P24" s="610"/>
      <c r="Q24" s="610"/>
      <c r="R24" s="611"/>
      <c r="S24" s="482">
        <f>ROUND(4883*Belarus*(1-C36),2)</f>
        <v>4883</v>
      </c>
    </row>
    <row r="25" spans="1:19" ht="18" customHeight="1">
      <c r="A25" s="657"/>
      <c r="B25" s="509"/>
      <c r="C25" s="1076"/>
      <c r="D25" s="1072" t="s">
        <v>1016</v>
      </c>
      <c r="E25" s="1072"/>
      <c r="F25" s="1072"/>
      <c r="G25" s="1072" t="s">
        <v>1017</v>
      </c>
      <c r="H25" s="1072"/>
      <c r="I25" s="1051"/>
      <c r="J25" s="8"/>
      <c r="K25" s="657"/>
      <c r="L25" s="602" t="s">
        <v>1673</v>
      </c>
      <c r="M25" s="603"/>
      <c r="N25" s="603"/>
      <c r="O25" s="603"/>
      <c r="P25" s="603"/>
      <c r="Q25" s="603"/>
      <c r="R25" s="604"/>
      <c r="S25" s="1070">
        <f>ROUND(2310*Belarus*(1-C36),2)</f>
        <v>2310</v>
      </c>
    </row>
    <row r="26" spans="1:19" ht="18" customHeight="1">
      <c r="A26" s="657"/>
      <c r="B26" s="509"/>
      <c r="C26" s="1076"/>
      <c r="D26" s="1072" t="s">
        <v>1018</v>
      </c>
      <c r="E26" s="1072"/>
      <c r="F26" s="1072"/>
      <c r="G26" s="1072" t="s">
        <v>1019</v>
      </c>
      <c r="H26" s="1072"/>
      <c r="I26" s="1051"/>
      <c r="J26" s="8"/>
      <c r="K26" s="657"/>
      <c r="L26" s="609"/>
      <c r="M26" s="610"/>
      <c r="N26" s="610"/>
      <c r="O26" s="610"/>
      <c r="P26" s="610"/>
      <c r="Q26" s="610"/>
      <c r="R26" s="611"/>
      <c r="S26" s="1071"/>
    </row>
    <row r="27" spans="1:19" ht="22.5" customHeight="1">
      <c r="A27" s="657"/>
      <c r="B27" s="509"/>
      <c r="C27" s="1076"/>
      <c r="D27" s="1072" t="s">
        <v>1020</v>
      </c>
      <c r="E27" s="1072"/>
      <c r="F27" s="1072"/>
      <c r="G27" s="1072" t="s">
        <v>1019</v>
      </c>
      <c r="H27" s="1072"/>
      <c r="I27" s="1051"/>
      <c r="J27" s="8"/>
      <c r="K27" s="1073" t="s">
        <v>851</v>
      </c>
      <c r="L27" s="1074"/>
      <c r="M27" s="1074"/>
      <c r="N27" s="1074"/>
      <c r="O27" s="1074"/>
      <c r="P27" s="1074"/>
      <c r="Q27" s="1074"/>
      <c r="R27" s="1074"/>
      <c r="S27" s="1075"/>
    </row>
    <row r="28" spans="1:19">
      <c r="J28" s="8"/>
    </row>
    <row r="29" spans="1:19">
      <c r="J29" s="8"/>
    </row>
    <row r="30" spans="1:19">
      <c r="J30" s="8"/>
      <c r="K30" s="40"/>
      <c r="L30" s="40"/>
      <c r="M30" s="40"/>
      <c r="N30" s="40"/>
      <c r="O30" s="40"/>
      <c r="P30" s="40"/>
      <c r="Q30" s="40"/>
      <c r="R30" s="40"/>
      <c r="S30" s="40"/>
    </row>
    <row r="31" spans="1:19">
      <c r="J31" s="8"/>
    </row>
    <row r="32" spans="1:19">
      <c r="A32" s="8"/>
      <c r="B32" s="102"/>
      <c r="C32" s="22"/>
      <c r="D32" s="102"/>
      <c r="E32" s="102"/>
      <c r="F32" s="102"/>
      <c r="G32" s="102"/>
      <c r="H32" s="8"/>
      <c r="I32" s="8"/>
      <c r="J32" s="8"/>
      <c r="K32" s="8"/>
      <c r="L32" s="8"/>
      <c r="M32" s="8"/>
      <c r="N32" s="8"/>
      <c r="O32" s="8"/>
      <c r="P32" s="8"/>
      <c r="Q32" s="8"/>
      <c r="R32" s="8"/>
      <c r="S32" s="8"/>
    </row>
    <row r="33" spans="1:19">
      <c r="A33" s="160"/>
      <c r="B33" s="160"/>
      <c r="C33" s="41"/>
      <c r="D33" s="160"/>
      <c r="E33" s="160"/>
      <c r="F33" s="160"/>
      <c r="G33" s="36"/>
      <c r="H33" s="160"/>
      <c r="I33" s="160"/>
      <c r="J33" s="8"/>
      <c r="K33" s="8"/>
      <c r="L33" s="8"/>
      <c r="M33" s="8"/>
      <c r="N33" s="8"/>
      <c r="O33" s="8"/>
      <c r="P33" s="8"/>
      <c r="Q33" s="8"/>
      <c r="R33" s="8"/>
      <c r="S33" s="8"/>
    </row>
    <row r="34" spans="1:19">
      <c r="A34" s="8"/>
      <c r="B34" s="8"/>
      <c r="C34" s="9"/>
      <c r="D34" s="8"/>
      <c r="E34" s="8"/>
      <c r="F34" s="8"/>
      <c r="G34" s="8"/>
      <c r="H34" s="8"/>
      <c r="I34" s="8"/>
      <c r="J34" s="8"/>
      <c r="K34" s="8"/>
      <c r="L34" s="8"/>
      <c r="M34" s="8"/>
      <c r="N34" s="8"/>
      <c r="O34" s="8"/>
      <c r="P34" s="8"/>
      <c r="Q34" s="8"/>
      <c r="R34" s="8"/>
      <c r="S34" s="8"/>
    </row>
    <row r="35" spans="1:19">
      <c r="A35" s="740" t="s">
        <v>854</v>
      </c>
      <c r="B35" s="740"/>
      <c r="C35" s="740"/>
      <c r="D35" s="8"/>
      <c r="E35" s="8"/>
      <c r="F35" s="8"/>
      <c r="G35" s="8"/>
      <c r="H35" s="8"/>
      <c r="I35" s="8"/>
      <c r="J35" s="8"/>
      <c r="K35" s="8"/>
      <c r="L35" s="8"/>
      <c r="M35" s="8"/>
      <c r="N35" s="8"/>
      <c r="O35" s="8"/>
      <c r="P35" s="8"/>
      <c r="Q35" s="8"/>
      <c r="R35" s="8"/>
      <c r="S35" s="8"/>
    </row>
    <row r="36" spans="1:19">
      <c r="A36" s="512" t="s">
        <v>1021</v>
      </c>
      <c r="B36" s="512"/>
      <c r="C36" s="153">
        <v>0</v>
      </c>
      <c r="D36" s="8"/>
      <c r="E36" s="8"/>
      <c r="F36" s="8"/>
      <c r="G36" s="8"/>
      <c r="H36" s="8"/>
      <c r="I36" s="8"/>
      <c r="J36" s="8"/>
      <c r="K36" s="8"/>
      <c r="L36" s="8"/>
      <c r="M36" s="8"/>
      <c r="N36" s="8"/>
      <c r="O36" s="8"/>
      <c r="P36" s="8"/>
      <c r="Q36" s="8"/>
      <c r="R36" s="8"/>
      <c r="S36" s="8"/>
    </row>
    <row r="37" spans="1:19">
      <c r="A37" s="8"/>
      <c r="B37" s="8"/>
      <c r="C37" s="8"/>
      <c r="D37" s="8"/>
      <c r="E37" s="8"/>
      <c r="F37" s="8"/>
      <c r="G37" s="8"/>
      <c r="H37" s="8"/>
      <c r="I37" s="8"/>
      <c r="J37" s="8"/>
      <c r="K37" s="36"/>
      <c r="L37" s="36"/>
      <c r="M37" s="36"/>
      <c r="N37" s="36"/>
      <c r="O37" s="36"/>
      <c r="P37" s="36"/>
      <c r="Q37" s="36"/>
      <c r="R37" s="36"/>
      <c r="S37" s="36"/>
    </row>
    <row r="38" spans="1:19">
      <c r="A38" s="281" t="s">
        <v>2139</v>
      </c>
    </row>
  </sheetData>
  <sheetProtection selectLockedCells="1" selectUnlockedCells="1"/>
  <mergeCells count="79">
    <mergeCell ref="A1:D1"/>
    <mergeCell ref="A3:S3"/>
    <mergeCell ref="A4:S4"/>
    <mergeCell ref="A5:S5"/>
    <mergeCell ref="A7:A8"/>
    <mergeCell ref="B7:B8"/>
    <mergeCell ref="C7:C8"/>
    <mergeCell ref="D7:D8"/>
    <mergeCell ref="E7:F7"/>
    <mergeCell ref="G7:H8"/>
    <mergeCell ref="Q7:R8"/>
    <mergeCell ref="S7:S8"/>
    <mergeCell ref="N7:N8"/>
    <mergeCell ref="O7:P7"/>
    <mergeCell ref="I7:I8"/>
    <mergeCell ref="K7:K8"/>
    <mergeCell ref="L7:L8"/>
    <mergeCell ref="M7:M8"/>
    <mergeCell ref="A9:A11"/>
    <mergeCell ref="B9:B11"/>
    <mergeCell ref="C9:C11"/>
    <mergeCell ref="D9:D11"/>
    <mergeCell ref="G9:H11"/>
    <mergeCell ref="Q9:R11"/>
    <mergeCell ref="S9:S11"/>
    <mergeCell ref="E10:F10"/>
    <mergeCell ref="L10:L11"/>
    <mergeCell ref="N10:N11"/>
    <mergeCell ref="O10:O11"/>
    <mergeCell ref="P10:P11"/>
    <mergeCell ref="I9:I11"/>
    <mergeCell ref="K9:K11"/>
    <mergeCell ref="M9:M11"/>
    <mergeCell ref="K12:S12"/>
    <mergeCell ref="A15:H15"/>
    <mergeCell ref="K15:R15"/>
    <mergeCell ref="A16:H16"/>
    <mergeCell ref="N16:P16"/>
    <mergeCell ref="Q16:R16"/>
    <mergeCell ref="A21:I21"/>
    <mergeCell ref="K21:K22"/>
    <mergeCell ref="L21:R22"/>
    <mergeCell ref="S21:S22"/>
    <mergeCell ref="A22:A27"/>
    <mergeCell ref="G25:H25"/>
    <mergeCell ref="K25:K26"/>
    <mergeCell ref="L25:R26"/>
    <mergeCell ref="D22:F22"/>
    <mergeCell ref="G22:H22"/>
    <mergeCell ref="I22:I27"/>
    <mergeCell ref="D23:F23"/>
    <mergeCell ref="G23:H23"/>
    <mergeCell ref="S17:S18"/>
    <mergeCell ref="A18:H20"/>
    <mergeCell ref="I18:I20"/>
    <mergeCell ref="K19:R19"/>
    <mergeCell ref="L20:R20"/>
    <mergeCell ref="A17:I17"/>
    <mergeCell ref="K17:K18"/>
    <mergeCell ref="L17:L18"/>
    <mergeCell ref="M17:M18"/>
    <mergeCell ref="N17:P18"/>
    <mergeCell ref="Q17:R18"/>
    <mergeCell ref="A35:C35"/>
    <mergeCell ref="A36:B36"/>
    <mergeCell ref="S25:S26"/>
    <mergeCell ref="D26:F26"/>
    <mergeCell ref="G26:H26"/>
    <mergeCell ref="D27:F27"/>
    <mergeCell ref="G27:H27"/>
    <mergeCell ref="K27:S27"/>
    <mergeCell ref="B22:B27"/>
    <mergeCell ref="C22:C27"/>
    <mergeCell ref="K23:K24"/>
    <mergeCell ref="L23:R23"/>
    <mergeCell ref="D24:F24"/>
    <mergeCell ref="G24:H24"/>
    <mergeCell ref="L24:R24"/>
    <mergeCell ref="D25:F2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4" firstPageNumber="0" orientation="landscape" r:id="rId1"/>
  <headerFooter scaleWithDoc="0">
    <oddHeader>&amp;L&amp;G&amp;R&amp;5Центр поддержки клиентов Grand Line: 8-800-770-77-36
cайт: www.grandline.ru</oddHeader>
  </headerFooter>
  <drawing r:id="rId2"/>
  <legacyDrawingHF r:id="rId3"/>
</worksheet>
</file>

<file path=xl/worksheets/sheet9.xml><?xml version="1.0" encoding="utf-8"?>
<worksheet xmlns="http://schemas.openxmlformats.org/spreadsheetml/2006/main" xmlns:r="http://schemas.openxmlformats.org/officeDocument/2006/relationships">
  <sheetPr>
    <tabColor indexed="50"/>
    <pageSetUpPr fitToPage="1"/>
  </sheetPr>
  <dimension ref="A1:R47"/>
  <sheetViews>
    <sheetView zoomScale="75" zoomScaleNormal="75" workbookViewId="0">
      <selection sqref="A1:D1"/>
    </sheetView>
  </sheetViews>
  <sheetFormatPr defaultRowHeight="15"/>
  <cols>
    <col min="1" max="1" width="18.85546875" style="470" customWidth="1"/>
    <col min="2" max="2" width="17.85546875" style="470" customWidth="1"/>
    <col min="3" max="3" width="22.140625" style="470" customWidth="1"/>
    <col min="4" max="4" width="17.140625" style="470" customWidth="1"/>
    <col min="5" max="5" width="21.28515625" style="470" customWidth="1"/>
    <col min="6" max="6" width="11" style="470" customWidth="1"/>
    <col min="7" max="7" width="10.5703125" style="470" customWidth="1"/>
    <col min="8" max="8" width="10.85546875" style="470" customWidth="1"/>
    <col min="9" max="9" width="1.7109375" style="470" customWidth="1"/>
    <col min="10" max="10" width="16.140625" style="470" customWidth="1"/>
    <col min="11" max="11" width="15.85546875" style="470" customWidth="1"/>
    <col min="12" max="12" width="12.28515625" style="470" customWidth="1"/>
    <col min="13" max="13" width="12.7109375" style="470" customWidth="1"/>
    <col min="14" max="14" width="22.28515625" style="470" customWidth="1"/>
    <col min="15" max="15" width="12.140625" style="470" customWidth="1"/>
    <col min="16" max="16" width="12.85546875" style="470" customWidth="1"/>
    <col min="17" max="17" width="11.85546875" style="470" customWidth="1"/>
    <col min="18" max="18" width="10.7109375" style="470" customWidth="1"/>
    <col min="19" max="16384" width="9.140625" style="470"/>
  </cols>
  <sheetData>
    <row r="1" spans="1:18">
      <c r="A1" s="614" t="s">
        <v>19</v>
      </c>
      <c r="B1" s="614"/>
      <c r="C1" s="614"/>
      <c r="D1" s="614"/>
      <c r="E1" s="8"/>
      <c r="F1" s="8"/>
      <c r="G1" s="8"/>
      <c r="H1" s="8"/>
      <c r="I1" s="8"/>
      <c r="J1" s="8"/>
      <c r="K1" s="8"/>
      <c r="L1" s="8"/>
      <c r="M1" s="8"/>
      <c r="N1" s="8"/>
      <c r="O1" s="8"/>
      <c r="P1" s="8"/>
      <c r="Q1" s="8"/>
      <c r="R1" s="8"/>
    </row>
    <row r="2" spans="1:18" ht="18" customHeight="1" thickBot="1">
      <c r="A2" s="615" t="s">
        <v>1692</v>
      </c>
      <c r="B2" s="615"/>
      <c r="C2" s="615"/>
      <c r="D2" s="615"/>
      <c r="E2" s="615"/>
      <c r="F2" s="615"/>
      <c r="G2" s="615"/>
      <c r="H2" s="615"/>
      <c r="I2" s="615"/>
      <c r="J2" s="615"/>
      <c r="K2" s="615"/>
      <c r="L2" s="615"/>
      <c r="M2" s="110"/>
      <c r="N2" s="110"/>
      <c r="O2" s="290"/>
      <c r="P2" s="80" t="s">
        <v>20</v>
      </c>
      <c r="Q2" s="635">
        <v>43920</v>
      </c>
      <c r="R2" s="635"/>
    </row>
    <row r="3" spans="1:18" ht="33.75" customHeight="1">
      <c r="A3" s="859" t="s">
        <v>1514</v>
      </c>
      <c r="B3" s="859"/>
      <c r="C3" s="859"/>
      <c r="D3" s="859"/>
      <c r="E3" s="859"/>
      <c r="F3" s="859"/>
      <c r="G3" s="859"/>
      <c r="H3" s="859"/>
      <c r="I3" s="859"/>
      <c r="J3" s="859"/>
      <c r="K3" s="859"/>
      <c r="L3" s="859"/>
      <c r="M3" s="859"/>
      <c r="N3" s="859"/>
      <c r="O3" s="859"/>
      <c r="P3" s="859"/>
      <c r="Q3" s="859"/>
      <c r="R3" s="859"/>
    </row>
    <row r="4" spans="1:18" ht="12.75" customHeight="1">
      <c r="A4" s="1011"/>
      <c r="B4" s="1012"/>
      <c r="C4" s="1012"/>
      <c r="D4" s="1012"/>
      <c r="E4" s="1012"/>
      <c r="F4" s="1012"/>
      <c r="G4" s="1012"/>
      <c r="H4" s="1012"/>
      <c r="I4" s="1012"/>
      <c r="J4" s="1012"/>
      <c r="K4" s="1012"/>
      <c r="L4" s="1012"/>
      <c r="M4" s="1012"/>
      <c r="N4" s="1012"/>
      <c r="O4" s="1012"/>
      <c r="P4" s="1012"/>
      <c r="Q4" s="1012"/>
      <c r="R4" s="1012"/>
    </row>
    <row r="5" spans="1:18" ht="12.75" customHeight="1">
      <c r="A5" s="116"/>
      <c r="B5" s="116"/>
      <c r="C5" s="116"/>
      <c r="D5" s="116"/>
      <c r="E5" s="116"/>
      <c r="F5" s="116"/>
      <c r="G5" s="116"/>
      <c r="H5" s="116"/>
      <c r="I5" s="122"/>
      <c r="J5" s="116"/>
      <c r="K5" s="122"/>
      <c r="L5" s="122"/>
      <c r="M5" s="122"/>
      <c r="N5" s="122"/>
      <c r="O5" s="116"/>
      <c r="P5" s="144" t="s">
        <v>21</v>
      </c>
      <c r="Q5" s="723">
        <v>43920</v>
      </c>
      <c r="R5" s="723"/>
    </row>
    <row r="6" spans="1:18" ht="12.75" customHeight="1">
      <c r="A6" s="514" t="s">
        <v>1022</v>
      </c>
      <c r="B6" s="513" t="s">
        <v>18</v>
      </c>
      <c r="C6" s="513" t="s">
        <v>979</v>
      </c>
      <c r="D6" s="514" t="s">
        <v>983</v>
      </c>
      <c r="E6" s="514" t="s">
        <v>856</v>
      </c>
      <c r="F6" s="505" t="s">
        <v>984</v>
      </c>
      <c r="G6" s="521"/>
      <c r="H6" s="506"/>
      <c r="I6" s="97"/>
      <c r="J6" s="514" t="s">
        <v>1022</v>
      </c>
      <c r="K6" s="676" t="s">
        <v>18</v>
      </c>
      <c r="L6" s="676" t="s">
        <v>979</v>
      </c>
      <c r="M6" s="1113" t="s">
        <v>983</v>
      </c>
      <c r="N6" s="1113" t="s">
        <v>856</v>
      </c>
      <c r="O6" s="514" t="s">
        <v>984</v>
      </c>
      <c r="P6" s="514"/>
      <c r="Q6" s="514"/>
      <c r="R6" s="514"/>
    </row>
    <row r="7" spans="1:18">
      <c r="A7" s="514"/>
      <c r="B7" s="513"/>
      <c r="C7" s="513"/>
      <c r="D7" s="514"/>
      <c r="E7" s="514"/>
      <c r="F7" s="1115">
        <v>1</v>
      </c>
      <c r="G7" s="1116"/>
      <c r="H7" s="1117"/>
      <c r="I7" s="97"/>
      <c r="J7" s="514"/>
      <c r="K7" s="722"/>
      <c r="L7" s="722"/>
      <c r="M7" s="1114"/>
      <c r="N7" s="1114"/>
      <c r="O7" s="514" t="s">
        <v>1023</v>
      </c>
      <c r="P7" s="514"/>
      <c r="Q7" s="514"/>
      <c r="R7" s="514"/>
    </row>
    <row r="8" spans="1:18" ht="18" customHeight="1">
      <c r="A8" s="522"/>
      <c r="B8" s="558" t="s">
        <v>1543</v>
      </c>
      <c r="C8" s="637" t="s">
        <v>989</v>
      </c>
      <c r="D8" s="7">
        <v>1.53</v>
      </c>
      <c r="E8" s="7" t="s">
        <v>858</v>
      </c>
      <c r="F8" s="682">
        <f>ROUND(16416*Belarus*(1-C44),2)</f>
        <v>16416</v>
      </c>
      <c r="G8" s="1086"/>
      <c r="H8" s="683"/>
      <c r="I8" s="97"/>
      <c r="J8" s="1111"/>
      <c r="K8" s="491" t="s">
        <v>1024</v>
      </c>
      <c r="L8" s="637" t="s">
        <v>1025</v>
      </c>
      <c r="M8" s="100">
        <v>1.03</v>
      </c>
      <c r="N8" s="100" t="s">
        <v>858</v>
      </c>
      <c r="O8" s="1051">
        <f>ROUND(11309*Belarus*(1-C44),2)</f>
        <v>11309</v>
      </c>
      <c r="P8" s="1051"/>
      <c r="Q8" s="1051"/>
      <c r="R8" s="1051"/>
    </row>
    <row r="9" spans="1:18" ht="28.5" customHeight="1">
      <c r="A9" s="522"/>
      <c r="B9" s="558"/>
      <c r="C9" s="651"/>
      <c r="D9" s="99">
        <v>1.73</v>
      </c>
      <c r="E9" s="99" t="s">
        <v>858</v>
      </c>
      <c r="F9" s="682">
        <f>ROUND(18795*Belarus*(1-C44),2)</f>
        <v>18795</v>
      </c>
      <c r="G9" s="1086"/>
      <c r="H9" s="683"/>
      <c r="I9" s="97"/>
      <c r="J9" s="1112"/>
      <c r="K9" s="492"/>
      <c r="L9" s="651"/>
      <c r="M9" s="7">
        <v>1.53</v>
      </c>
      <c r="N9" s="101" t="s">
        <v>1026</v>
      </c>
      <c r="O9" s="1051">
        <f>ROUND(12986*Belarus*(1-C44),2)</f>
        <v>12986</v>
      </c>
      <c r="P9" s="1051"/>
      <c r="Q9" s="1051"/>
      <c r="R9" s="1051"/>
    </row>
    <row r="10" spans="1:18" ht="29.25" customHeight="1">
      <c r="A10" s="522"/>
      <c r="B10" s="558"/>
      <c r="C10" s="651"/>
      <c r="D10" s="99">
        <v>2.0299999999999998</v>
      </c>
      <c r="E10" s="99" t="s">
        <v>861</v>
      </c>
      <c r="F10" s="682">
        <f>ROUND(21915*Belarus*(1-C44),2)</f>
        <v>21915</v>
      </c>
      <c r="G10" s="1086"/>
      <c r="H10" s="683"/>
      <c r="I10" s="97"/>
      <c r="J10" s="1112"/>
      <c r="K10" s="492"/>
      <c r="L10" s="651"/>
      <c r="M10" s="99">
        <v>1.73</v>
      </c>
      <c r="N10" s="101" t="s">
        <v>858</v>
      </c>
      <c r="O10" s="1051">
        <f>ROUND(14236*Belarus*(1-C44),2)</f>
        <v>14236</v>
      </c>
      <c r="P10" s="1051"/>
      <c r="Q10" s="1051"/>
      <c r="R10" s="1051"/>
    </row>
    <row r="11" spans="1:18" ht="26.25" customHeight="1">
      <c r="A11" s="522"/>
      <c r="B11" s="558"/>
      <c r="C11" s="651"/>
      <c r="D11" s="99">
        <v>2.4300000000000002</v>
      </c>
      <c r="E11" s="99" t="s">
        <v>858</v>
      </c>
      <c r="F11" s="682">
        <f>ROUND(25037*Belarus*(1-C44),2)</f>
        <v>25037</v>
      </c>
      <c r="G11" s="1086"/>
      <c r="H11" s="683"/>
      <c r="I11" s="97"/>
      <c r="J11" s="591"/>
      <c r="K11" s="493"/>
      <c r="L11" s="638"/>
      <c r="M11" s="99">
        <v>2.0299999999999998</v>
      </c>
      <c r="N11" s="101" t="s">
        <v>1026</v>
      </c>
      <c r="O11" s="1051">
        <f>ROUND(15386*Belarus*(1-C44),2)</f>
        <v>15386</v>
      </c>
      <c r="P11" s="1051"/>
      <c r="Q11" s="1051"/>
      <c r="R11" s="1051"/>
    </row>
    <row r="12" spans="1:18" ht="18" customHeight="1">
      <c r="A12" s="522"/>
      <c r="B12" s="558"/>
      <c r="C12" s="101" t="s">
        <v>1027</v>
      </c>
      <c r="D12" s="99">
        <v>2.0299999999999998</v>
      </c>
      <c r="E12" s="99" t="s">
        <v>1028</v>
      </c>
      <c r="F12" s="682">
        <f>ROUND(24107*Belarus*(1-C44),2)</f>
        <v>24107</v>
      </c>
      <c r="G12" s="1086"/>
      <c r="H12" s="683"/>
      <c r="I12" s="97"/>
      <c r="J12" s="53"/>
      <c r="K12" s="36"/>
      <c r="L12" s="36"/>
      <c r="M12" s="36"/>
      <c r="N12" s="36"/>
      <c r="O12" s="36"/>
      <c r="P12" s="168"/>
      <c r="Q12" s="8"/>
      <c r="R12" s="8"/>
    </row>
    <row r="13" spans="1:18" ht="6.75" customHeight="1">
      <c r="A13" s="169"/>
      <c r="B13" s="48"/>
      <c r="C13" s="18"/>
      <c r="D13" s="48"/>
      <c r="E13" s="48"/>
      <c r="F13" s="48"/>
      <c r="G13" s="48"/>
      <c r="H13" s="48"/>
      <c r="I13" s="97"/>
      <c r="J13" s="53"/>
      <c r="K13" s="40"/>
      <c r="L13" s="42"/>
      <c r="M13" s="170"/>
      <c r="N13" s="170"/>
      <c r="O13" s="168"/>
      <c r="P13" s="168"/>
      <c r="Q13" s="8"/>
      <c r="R13" s="8"/>
    </row>
    <row r="14" spans="1:18" ht="12.75" customHeight="1">
      <c r="A14" s="514" t="s">
        <v>1022</v>
      </c>
      <c r="B14" s="513" t="s">
        <v>18</v>
      </c>
      <c r="C14" s="513" t="s">
        <v>979</v>
      </c>
      <c r="D14" s="514" t="s">
        <v>983</v>
      </c>
      <c r="E14" s="514" t="s">
        <v>856</v>
      </c>
      <c r="F14" s="505" t="s">
        <v>984</v>
      </c>
      <c r="G14" s="521"/>
      <c r="H14" s="506"/>
      <c r="I14" s="97"/>
      <c r="J14" s="514" t="s">
        <v>1022</v>
      </c>
      <c r="K14" s="513" t="s">
        <v>18</v>
      </c>
      <c r="L14" s="513" t="s">
        <v>979</v>
      </c>
      <c r="M14" s="514" t="s">
        <v>983</v>
      </c>
      <c r="N14" s="514" t="s">
        <v>856</v>
      </c>
      <c r="O14" s="505" t="s">
        <v>984</v>
      </c>
      <c r="P14" s="521"/>
      <c r="Q14" s="521"/>
      <c r="R14" s="506"/>
    </row>
    <row r="15" spans="1:18" ht="25.5">
      <c r="A15" s="514"/>
      <c r="B15" s="513"/>
      <c r="C15" s="513"/>
      <c r="D15" s="514"/>
      <c r="E15" s="514"/>
      <c r="F15" s="46">
        <v>4</v>
      </c>
      <c r="G15" s="46">
        <v>5</v>
      </c>
      <c r="H15" s="46">
        <v>6</v>
      </c>
      <c r="I15" s="97"/>
      <c r="J15" s="514"/>
      <c r="K15" s="513"/>
      <c r="L15" s="513"/>
      <c r="M15" s="514"/>
      <c r="N15" s="514"/>
      <c r="O15" s="289" t="s">
        <v>1544</v>
      </c>
      <c r="P15" s="259" t="s">
        <v>1545</v>
      </c>
      <c r="Q15" s="259" t="s">
        <v>1485</v>
      </c>
      <c r="R15" s="259" t="s">
        <v>1486</v>
      </c>
    </row>
    <row r="16" spans="1:18" ht="18" customHeight="1">
      <c r="A16" s="643"/>
      <c r="B16" s="491" t="s">
        <v>1029</v>
      </c>
      <c r="C16" s="637" t="s">
        <v>989</v>
      </c>
      <c r="D16" s="692">
        <v>2.0299999999999998</v>
      </c>
      <c r="E16" s="99" t="s">
        <v>858</v>
      </c>
      <c r="F16" s="1070">
        <f>ROUND(47434*Belarus*(1-C44),2)</f>
        <v>47434</v>
      </c>
      <c r="G16" s="151">
        <f>ROUND(67040*Belarus*(1-C44),2)</f>
        <v>67040</v>
      </c>
      <c r="H16" s="151">
        <f>ROUND(89364*Belarus*(1-C44),2)</f>
        <v>89364</v>
      </c>
      <c r="I16" s="97"/>
      <c r="J16" s="657"/>
      <c r="K16" s="558" t="s">
        <v>1030</v>
      </c>
      <c r="L16" s="587" t="s">
        <v>1031</v>
      </c>
      <c r="M16" s="630">
        <v>1.53</v>
      </c>
      <c r="N16" s="101" t="s">
        <v>858</v>
      </c>
      <c r="O16" s="171">
        <f>ROUND(26930*Belarus*(1-C44),2)</f>
        <v>26930</v>
      </c>
      <c r="P16" s="987">
        <f>ROUND(29860*Belarus*(1-C44),2)</f>
        <v>29860</v>
      </c>
      <c r="Q16" s="987" t="s">
        <v>51</v>
      </c>
      <c r="R16" s="987" t="s">
        <v>51</v>
      </c>
    </row>
    <row r="17" spans="1:18" ht="15.75" customHeight="1">
      <c r="A17" s="664"/>
      <c r="B17" s="492"/>
      <c r="C17" s="651"/>
      <c r="D17" s="693"/>
      <c r="E17" s="99" t="s">
        <v>1032</v>
      </c>
      <c r="F17" s="1071"/>
      <c r="G17" s="151" t="s">
        <v>51</v>
      </c>
      <c r="H17" s="151" t="s">
        <v>51</v>
      </c>
      <c r="I17" s="97"/>
      <c r="J17" s="657"/>
      <c r="K17" s="558"/>
      <c r="L17" s="587"/>
      <c r="M17" s="631"/>
      <c r="N17" s="101" t="s">
        <v>895</v>
      </c>
      <c r="O17" s="171" t="s">
        <v>51</v>
      </c>
      <c r="P17" s="989"/>
      <c r="Q17" s="989"/>
      <c r="R17" s="989"/>
    </row>
    <row r="18" spans="1:18" ht="31.5" customHeight="1">
      <c r="A18" s="644"/>
      <c r="B18" s="493"/>
      <c r="C18" s="638"/>
      <c r="D18" s="99">
        <v>2.4300000000000002</v>
      </c>
      <c r="E18" s="99" t="s">
        <v>858</v>
      </c>
      <c r="F18" s="151">
        <f>ROUND(57553*Belarus*(1-C44),2)</f>
        <v>57553</v>
      </c>
      <c r="G18" s="151" t="s">
        <v>51</v>
      </c>
      <c r="H18" s="151" t="s">
        <v>51</v>
      </c>
      <c r="I18" s="97"/>
      <c r="J18" s="657"/>
      <c r="K18" s="558"/>
      <c r="L18" s="587"/>
      <c r="M18" s="99">
        <v>1.73</v>
      </c>
      <c r="N18" s="101" t="s">
        <v>858</v>
      </c>
      <c r="O18" s="171">
        <f>ROUND(31295*Belarus*(1-C44),2)</f>
        <v>31295</v>
      </c>
      <c r="P18" s="171">
        <f>ROUND(34645*Belarus*(1-C44),2)</f>
        <v>34645</v>
      </c>
      <c r="Q18" s="171" t="s">
        <v>51</v>
      </c>
      <c r="R18" s="171" t="s">
        <v>51</v>
      </c>
    </row>
    <row r="19" spans="1:18" ht="18.75" customHeight="1">
      <c r="A19" s="169"/>
      <c r="B19" s="48"/>
      <c r="C19" s="18"/>
      <c r="D19" s="48"/>
      <c r="E19" s="48"/>
      <c r="F19" s="48"/>
      <c r="G19" s="48"/>
      <c r="H19" s="48"/>
      <c r="I19" s="97"/>
      <c r="J19" s="657"/>
      <c r="K19" s="558"/>
      <c r="L19" s="587"/>
      <c r="M19" s="536">
        <v>2.0299999999999998</v>
      </c>
      <c r="N19" s="101" t="s">
        <v>858</v>
      </c>
      <c r="O19" s="987">
        <f>ROUND(32200*Belarus*(1-C44),2)</f>
        <v>32200</v>
      </c>
      <c r="P19" s="171">
        <f>ROUND(36073*Belarus*(1-C44),2)</f>
        <v>36073</v>
      </c>
      <c r="Q19" s="171">
        <f>ROUND(42311*Belarus*(1-C44),2)</f>
        <v>42311</v>
      </c>
      <c r="R19" s="171">
        <f>ROUND(49731*Belarus*(1-C44),2)</f>
        <v>49731</v>
      </c>
    </row>
    <row r="20" spans="1:18" ht="18.75" customHeight="1">
      <c r="A20" s="169"/>
      <c r="B20" s="48"/>
      <c r="C20" s="18"/>
      <c r="D20" s="48"/>
      <c r="E20" s="48"/>
      <c r="F20" s="48"/>
      <c r="G20" s="48"/>
      <c r="H20" s="48"/>
      <c r="I20" s="97"/>
      <c r="J20" s="657"/>
      <c r="K20" s="558"/>
      <c r="L20" s="587"/>
      <c r="M20" s="536"/>
      <c r="N20" s="101" t="s">
        <v>895</v>
      </c>
      <c r="O20" s="989"/>
      <c r="P20" s="171" t="s">
        <v>51</v>
      </c>
      <c r="Q20" s="171" t="s">
        <v>51</v>
      </c>
      <c r="R20" s="171" t="s">
        <v>51</v>
      </c>
    </row>
    <row r="21" spans="1:18">
      <c r="A21" s="169"/>
      <c r="B21" s="48"/>
      <c r="C21" s="18"/>
      <c r="D21" s="48"/>
      <c r="E21" s="48"/>
      <c r="F21" s="48"/>
      <c r="G21" s="48"/>
      <c r="H21" s="48"/>
      <c r="I21" s="97"/>
      <c r="J21" s="8"/>
      <c r="K21" s="8"/>
      <c r="L21" s="8"/>
      <c r="M21" s="8"/>
      <c r="N21" s="8"/>
      <c r="O21" s="8"/>
      <c r="P21" s="8"/>
      <c r="Q21" s="8"/>
      <c r="R21" s="8"/>
    </row>
    <row r="22" spans="1:18" ht="25.5">
      <c r="A22" s="46" t="s">
        <v>1022</v>
      </c>
      <c r="B22" s="467" t="s">
        <v>18</v>
      </c>
      <c r="C22" s="513" t="s">
        <v>1033</v>
      </c>
      <c r="D22" s="513"/>
      <c r="E22" s="46" t="s">
        <v>856</v>
      </c>
      <c r="F22" s="505" t="s">
        <v>1034</v>
      </c>
      <c r="G22" s="521"/>
      <c r="H22" s="506"/>
      <c r="I22" s="97"/>
      <c r="J22" s="46" t="s">
        <v>1022</v>
      </c>
      <c r="K22" s="513" t="s">
        <v>18</v>
      </c>
      <c r="L22" s="513"/>
      <c r="M22" s="467" t="s">
        <v>1035</v>
      </c>
      <c r="N22" s="46" t="s">
        <v>856</v>
      </c>
      <c r="O22" s="505" t="s">
        <v>1546</v>
      </c>
      <c r="P22" s="506"/>
      <c r="Q22" s="514" t="s">
        <v>1034</v>
      </c>
      <c r="R22" s="514"/>
    </row>
    <row r="23" spans="1:18" ht="76.5" customHeight="1">
      <c r="A23" s="697"/>
      <c r="B23" s="491" t="s">
        <v>1547</v>
      </c>
      <c r="C23" s="602" t="s">
        <v>1036</v>
      </c>
      <c r="D23" s="604"/>
      <c r="E23" s="637" t="s">
        <v>922</v>
      </c>
      <c r="F23" s="1096">
        <f>ROUND(1021*Belarus*(1-C44),2)</f>
        <v>1021</v>
      </c>
      <c r="G23" s="1097"/>
      <c r="H23" s="1098"/>
      <c r="I23" s="97"/>
      <c r="J23" s="291"/>
      <c r="K23" s="558" t="s">
        <v>1039</v>
      </c>
      <c r="L23" s="558"/>
      <c r="M23" s="111" t="s">
        <v>1037</v>
      </c>
      <c r="N23" s="111" t="s">
        <v>1038</v>
      </c>
      <c r="O23" s="515" t="s">
        <v>1040</v>
      </c>
      <c r="P23" s="516"/>
      <c r="Q23" s="1051">
        <f>ROUND(10584*Belarus*(1-C44),2)</f>
        <v>10584</v>
      </c>
      <c r="R23" s="1051"/>
    </row>
    <row r="24" spans="1:18" ht="61.5" customHeight="1">
      <c r="A24" s="698"/>
      <c r="B24" s="493"/>
      <c r="C24" s="609"/>
      <c r="D24" s="611"/>
      <c r="E24" s="638"/>
      <c r="F24" s="1099"/>
      <c r="G24" s="1100"/>
      <c r="H24" s="1101"/>
      <c r="I24" s="97"/>
      <c r="J24" s="146"/>
      <c r="K24" s="701" t="s">
        <v>1044</v>
      </c>
      <c r="L24" s="702"/>
      <c r="M24" s="111" t="s">
        <v>1041</v>
      </c>
      <c r="N24" s="111" t="s">
        <v>1038</v>
      </c>
      <c r="O24" s="490" t="s">
        <v>1040</v>
      </c>
      <c r="P24" s="490"/>
      <c r="Q24" s="1051">
        <f>ROUND(19761*Belarus*(1-C44),2)</f>
        <v>19761</v>
      </c>
      <c r="R24" s="1051"/>
    </row>
    <row r="25" spans="1:18" ht="18" customHeight="1">
      <c r="A25" s="606" t="s">
        <v>1548</v>
      </c>
      <c r="B25" s="607"/>
      <c r="C25" s="607"/>
      <c r="D25" s="607"/>
      <c r="E25" s="607"/>
      <c r="F25" s="607"/>
      <c r="G25" s="607"/>
      <c r="H25" s="608"/>
      <c r="I25" s="97"/>
      <c r="J25" s="280"/>
      <c r="K25" s="68"/>
      <c r="L25" s="68"/>
      <c r="M25" s="282"/>
      <c r="N25" s="282"/>
      <c r="O25" s="22"/>
      <c r="P25" s="22"/>
      <c r="Q25" s="222"/>
      <c r="R25" s="222"/>
    </row>
    <row r="26" spans="1:18" ht="24.75" customHeight="1">
      <c r="A26" s="698"/>
      <c r="B26" s="492" t="s">
        <v>1042</v>
      </c>
      <c r="C26" s="602" t="s">
        <v>1043</v>
      </c>
      <c r="D26" s="577"/>
      <c r="E26" s="651" t="s">
        <v>922</v>
      </c>
      <c r="F26" s="1096">
        <f>ROUND(322*Belarus*(1-C44),2)</f>
        <v>322</v>
      </c>
      <c r="G26" s="1097"/>
      <c r="H26" s="1098"/>
      <c r="I26" s="97"/>
    </row>
    <row r="27" spans="1:18" ht="18" customHeight="1">
      <c r="A27" s="817"/>
      <c r="B27" s="492"/>
      <c r="C27" s="818"/>
      <c r="D27" s="819"/>
      <c r="E27" s="651"/>
      <c r="F27" s="1108"/>
      <c r="G27" s="1109"/>
      <c r="H27" s="1110"/>
      <c r="I27" s="97"/>
      <c r="J27" s="292"/>
    </row>
    <row r="28" spans="1:18" ht="18" customHeight="1">
      <c r="A28" s="817"/>
      <c r="B28" s="493"/>
      <c r="C28" s="584"/>
      <c r="D28" s="586"/>
      <c r="E28" s="638"/>
      <c r="F28" s="1099"/>
      <c r="G28" s="1100"/>
      <c r="H28" s="1101"/>
      <c r="I28" s="97"/>
      <c r="J28" s="292"/>
    </row>
    <row r="29" spans="1:18" ht="59.25" customHeight="1">
      <c r="A29" s="103"/>
      <c r="B29" s="288" t="s">
        <v>1549</v>
      </c>
      <c r="C29" s="620" t="s">
        <v>1045</v>
      </c>
      <c r="D29" s="496"/>
      <c r="E29" s="21" t="s">
        <v>1046</v>
      </c>
      <c r="F29" s="682">
        <f>ROUND(824*Belarus*(1-C44),2)</f>
        <v>824</v>
      </c>
      <c r="G29" s="1086"/>
      <c r="H29" s="683"/>
      <c r="I29" s="97"/>
      <c r="J29" s="8"/>
      <c r="K29" s="8"/>
      <c r="L29" s="8"/>
      <c r="M29" s="8"/>
      <c r="N29" s="8"/>
      <c r="O29" s="8"/>
      <c r="P29" s="8"/>
      <c r="Q29" s="8"/>
      <c r="R29" s="8"/>
    </row>
    <row r="30" spans="1:18" ht="16.5" customHeight="1">
      <c r="A30" s="514" t="s">
        <v>1022</v>
      </c>
      <c r="B30" s="513" t="s">
        <v>18</v>
      </c>
      <c r="C30" s="513"/>
      <c r="D30" s="513" t="s">
        <v>1035</v>
      </c>
      <c r="E30" s="514" t="s">
        <v>856</v>
      </c>
      <c r="F30" s="1102" t="s">
        <v>1034</v>
      </c>
      <c r="G30" s="1103"/>
      <c r="H30" s="1104"/>
      <c r="I30" s="97"/>
      <c r="J30" s="513" t="s">
        <v>1047</v>
      </c>
      <c r="K30" s="640" t="s">
        <v>1550</v>
      </c>
      <c r="L30" s="640"/>
      <c r="M30" s="640"/>
      <c r="N30" s="640"/>
      <c r="O30" s="640"/>
      <c r="P30" s="640"/>
      <c r="Q30" s="640"/>
      <c r="R30" s="640"/>
    </row>
    <row r="31" spans="1:18">
      <c r="A31" s="514"/>
      <c r="B31" s="513"/>
      <c r="C31" s="513"/>
      <c r="D31" s="513"/>
      <c r="E31" s="514"/>
      <c r="F31" s="1105"/>
      <c r="G31" s="1106"/>
      <c r="H31" s="1107"/>
      <c r="I31" s="97"/>
      <c r="J31" s="513"/>
      <c r="K31" s="640"/>
      <c r="L31" s="640"/>
      <c r="M31" s="640"/>
      <c r="N31" s="640"/>
      <c r="O31" s="640"/>
      <c r="P31" s="640"/>
      <c r="Q31" s="640"/>
      <c r="R31" s="640"/>
    </row>
    <row r="32" spans="1:18" ht="35.25" customHeight="1">
      <c r="A32" s="1095"/>
      <c r="B32" s="572" t="s">
        <v>1937</v>
      </c>
      <c r="C32" s="592"/>
      <c r="D32" s="692" t="s">
        <v>1037</v>
      </c>
      <c r="E32" s="637" t="s">
        <v>1048</v>
      </c>
      <c r="F32" s="1096">
        <f>ROUND(19063*Belarus*(1-C44),2)</f>
        <v>19063</v>
      </c>
      <c r="G32" s="1097"/>
      <c r="H32" s="1098"/>
      <c r="I32" s="8"/>
      <c r="J32" s="513"/>
      <c r="K32" s="640"/>
      <c r="L32" s="640"/>
      <c r="M32" s="640"/>
      <c r="N32" s="640"/>
      <c r="O32" s="640"/>
      <c r="P32" s="640"/>
      <c r="Q32" s="640"/>
      <c r="R32" s="640"/>
    </row>
    <row r="33" spans="1:18" ht="30.75" customHeight="1">
      <c r="A33" s="972"/>
      <c r="B33" s="574"/>
      <c r="C33" s="594"/>
      <c r="D33" s="693"/>
      <c r="E33" s="651"/>
      <c r="F33" s="1099"/>
      <c r="G33" s="1100"/>
      <c r="H33" s="1101"/>
      <c r="I33" s="8"/>
      <c r="J33" s="513" t="s">
        <v>1049</v>
      </c>
      <c r="K33" s="640" t="s">
        <v>1050</v>
      </c>
      <c r="L33" s="640"/>
      <c r="M33" s="640"/>
      <c r="N33" s="640"/>
      <c r="O33" s="640"/>
      <c r="P33" s="640"/>
      <c r="Q33" s="640"/>
      <c r="R33" s="640"/>
    </row>
    <row r="34" spans="1:18" ht="29.25" customHeight="1">
      <c r="A34" s="1095"/>
      <c r="B34" s="572" t="s">
        <v>1933</v>
      </c>
      <c r="C34" s="592"/>
      <c r="D34" s="692" t="s">
        <v>1051</v>
      </c>
      <c r="E34" s="651"/>
      <c r="F34" s="1096">
        <f>ROUND(19604*Belarus*(1-C44),2)</f>
        <v>19604</v>
      </c>
      <c r="G34" s="1097"/>
      <c r="H34" s="1098"/>
      <c r="I34" s="8"/>
      <c r="J34" s="513"/>
      <c r="K34" s="640"/>
      <c r="L34" s="640"/>
      <c r="M34" s="640"/>
      <c r="N34" s="640"/>
      <c r="O34" s="640"/>
      <c r="P34" s="640"/>
      <c r="Q34" s="640"/>
      <c r="R34" s="640"/>
    </row>
    <row r="35" spans="1:18" ht="29.25" customHeight="1">
      <c r="A35" s="972"/>
      <c r="B35" s="574"/>
      <c r="C35" s="594"/>
      <c r="D35" s="693"/>
      <c r="E35" s="638"/>
      <c r="F35" s="1099"/>
      <c r="G35" s="1100"/>
      <c r="H35" s="1101"/>
      <c r="I35" s="8"/>
      <c r="J35" s="513"/>
      <c r="K35" s="640"/>
      <c r="L35" s="640"/>
      <c r="M35" s="640"/>
      <c r="N35" s="640"/>
      <c r="O35" s="640"/>
      <c r="P35" s="640"/>
      <c r="Q35" s="640"/>
      <c r="R35" s="640"/>
    </row>
    <row r="36" spans="1:18" ht="28.5" customHeight="1">
      <c r="A36" s="1095"/>
      <c r="B36" s="572" t="s">
        <v>1934</v>
      </c>
      <c r="C36" s="592"/>
      <c r="D36" s="637" t="s">
        <v>1052</v>
      </c>
      <c r="E36" s="637" t="s">
        <v>1048</v>
      </c>
      <c r="F36" s="1096">
        <f>ROUND(39948*Belarus*(1-C44),2)</f>
        <v>39948</v>
      </c>
      <c r="G36" s="1097"/>
      <c r="H36" s="1098"/>
      <c r="I36" s="8"/>
      <c r="J36" s="569" t="s">
        <v>1053</v>
      </c>
      <c r="K36" s="626" t="s">
        <v>1054</v>
      </c>
      <c r="L36" s="1081"/>
      <c r="M36" s="1081"/>
      <c r="N36" s="1081"/>
      <c r="O36" s="1081"/>
      <c r="P36" s="1081"/>
      <c r="Q36" s="1081"/>
      <c r="R36" s="1082"/>
    </row>
    <row r="37" spans="1:18" ht="28.5" customHeight="1">
      <c r="A37" s="972"/>
      <c r="B37" s="574"/>
      <c r="C37" s="594"/>
      <c r="D37" s="638"/>
      <c r="E37" s="651"/>
      <c r="F37" s="1099"/>
      <c r="G37" s="1100"/>
      <c r="H37" s="1101"/>
      <c r="I37" s="8"/>
      <c r="J37" s="569"/>
      <c r="K37" s="1083"/>
      <c r="L37" s="1084"/>
      <c r="M37" s="1084"/>
      <c r="N37" s="1084"/>
      <c r="O37" s="1084"/>
      <c r="P37" s="1084"/>
      <c r="Q37" s="1084"/>
      <c r="R37" s="1085"/>
    </row>
    <row r="38" spans="1:18" ht="57" customHeight="1">
      <c r="A38" s="146"/>
      <c r="B38" s="701" t="s">
        <v>1935</v>
      </c>
      <c r="C38" s="702"/>
      <c r="D38" s="101" t="s">
        <v>1052</v>
      </c>
      <c r="E38" s="638"/>
      <c r="F38" s="682">
        <f>ROUND(42735*Belarus*(1-C44),2)</f>
        <v>42735</v>
      </c>
      <c r="G38" s="1086"/>
      <c r="H38" s="683"/>
      <c r="I38" s="8"/>
      <c r="J38" s="513" t="s">
        <v>1055</v>
      </c>
      <c r="K38" s="671" t="s">
        <v>1056</v>
      </c>
      <c r="L38" s="672"/>
      <c r="M38" s="672"/>
      <c r="N38" s="672"/>
      <c r="O38" s="672"/>
      <c r="P38" s="672"/>
      <c r="Q38" s="672"/>
      <c r="R38" s="673"/>
    </row>
    <row r="39" spans="1:18">
      <c r="A39" s="1089" t="s">
        <v>1057</v>
      </c>
      <c r="B39" s="1090"/>
      <c r="C39" s="511"/>
      <c r="D39" s="1090"/>
      <c r="E39" s="1090"/>
      <c r="F39" s="1090"/>
      <c r="G39" s="1090"/>
      <c r="H39" s="1091"/>
      <c r="I39" s="8"/>
      <c r="J39" s="513"/>
      <c r="K39" s="1087"/>
      <c r="L39" s="688"/>
      <c r="M39" s="688"/>
      <c r="N39" s="688"/>
      <c r="O39" s="688"/>
      <c r="P39" s="688"/>
      <c r="Q39" s="688"/>
      <c r="R39" s="1088"/>
    </row>
    <row r="40" spans="1:18" ht="12.75" customHeight="1">
      <c r="A40" s="1092" t="s">
        <v>2019</v>
      </c>
      <c r="B40" s="1093"/>
      <c r="C40" s="1093"/>
      <c r="D40" s="1093"/>
      <c r="E40" s="1093"/>
      <c r="F40" s="1093"/>
      <c r="G40" s="1093"/>
      <c r="H40" s="1094"/>
      <c r="I40" s="8"/>
      <c r="J40" s="513"/>
      <c r="K40" s="588"/>
      <c r="L40" s="589"/>
      <c r="M40" s="589"/>
      <c r="N40" s="589"/>
      <c r="O40" s="589"/>
      <c r="P40" s="589"/>
      <c r="Q40" s="589"/>
      <c r="R40" s="590"/>
    </row>
    <row r="41" spans="1:18">
      <c r="A41" s="634" t="s">
        <v>2020</v>
      </c>
      <c r="B41" s="634"/>
      <c r="C41" s="634"/>
      <c r="D41" s="634"/>
      <c r="E41" s="634"/>
      <c r="F41" s="634"/>
      <c r="G41" s="634"/>
      <c r="H41" s="634"/>
      <c r="I41" s="8"/>
      <c r="J41" s="8"/>
      <c r="K41" s="8"/>
      <c r="L41" s="8"/>
      <c r="M41" s="8"/>
      <c r="N41" s="8"/>
      <c r="O41" s="8"/>
      <c r="P41" s="8"/>
      <c r="Q41" s="8"/>
      <c r="R41" s="8"/>
    </row>
    <row r="42" spans="1:18">
      <c r="A42" s="223"/>
      <c r="B42" s="223"/>
      <c r="C42" s="223"/>
      <c r="D42" s="223"/>
      <c r="E42" s="223"/>
      <c r="F42" s="223"/>
      <c r="G42" s="223"/>
      <c r="H42" s="223"/>
      <c r="I42" s="8"/>
      <c r="J42" s="8"/>
      <c r="K42" s="8"/>
      <c r="L42" s="8"/>
      <c r="M42" s="8"/>
      <c r="N42" s="8"/>
      <c r="O42" s="8"/>
      <c r="P42" s="8"/>
      <c r="Q42" s="8"/>
      <c r="R42" s="8"/>
    </row>
    <row r="43" spans="1:18">
      <c r="A43" s="8"/>
      <c r="B43" s="8"/>
      <c r="C43" s="8"/>
      <c r="D43" s="8"/>
      <c r="E43" s="8"/>
      <c r="F43" s="8"/>
      <c r="G43" s="8"/>
      <c r="H43" s="8"/>
      <c r="I43" s="8"/>
      <c r="J43" s="8"/>
      <c r="K43" s="8"/>
      <c r="L43" s="8"/>
      <c r="M43" s="8"/>
      <c r="N43" s="8"/>
      <c r="O43" s="8"/>
      <c r="P43" s="8"/>
      <c r="Q43" s="8"/>
      <c r="R43" s="8"/>
    </row>
    <row r="44" spans="1:18">
      <c r="A44" s="740" t="s">
        <v>854</v>
      </c>
      <c r="B44" s="740"/>
      <c r="C44" s="713">
        <v>0</v>
      </c>
      <c r="D44" s="8"/>
      <c r="E44" s="8"/>
      <c r="F44" s="8"/>
      <c r="G44" s="8"/>
      <c r="H44" s="8"/>
      <c r="I44" s="8"/>
      <c r="J44" s="8"/>
      <c r="K44" s="8"/>
      <c r="L44" s="8"/>
      <c r="M44" s="8"/>
      <c r="N44" s="8"/>
      <c r="O44" s="8"/>
      <c r="P44" s="8"/>
      <c r="Q44" s="8"/>
      <c r="R44" s="8"/>
    </row>
    <row r="45" spans="1:18">
      <c r="A45" s="740"/>
      <c r="B45" s="740"/>
      <c r="C45" s="714"/>
      <c r="D45" s="8"/>
      <c r="E45" s="8"/>
      <c r="F45" s="8"/>
      <c r="G45" s="8"/>
      <c r="H45" s="8"/>
      <c r="I45" s="8"/>
      <c r="J45" s="8"/>
      <c r="K45" s="8"/>
      <c r="L45" s="8"/>
      <c r="M45" s="8"/>
      <c r="N45" s="8"/>
      <c r="O45" s="8"/>
      <c r="P45" s="8"/>
      <c r="Q45" s="8"/>
      <c r="R45" s="8"/>
    </row>
    <row r="47" spans="1:18">
      <c r="A47" s="281" t="s">
        <v>2139</v>
      </c>
    </row>
  </sheetData>
  <sheetProtection selectLockedCells="1" selectUnlockedCells="1"/>
  <mergeCells count="119">
    <mergeCell ref="A1:D1"/>
    <mergeCell ref="A2:L2"/>
    <mergeCell ref="Q2:R2"/>
    <mergeCell ref="A3:R3"/>
    <mergeCell ref="A4:R4"/>
    <mergeCell ref="Q5:R5"/>
    <mergeCell ref="J6:J7"/>
    <mergeCell ref="K6:K7"/>
    <mergeCell ref="L6:L7"/>
    <mergeCell ref="M6:M7"/>
    <mergeCell ref="N6:N7"/>
    <mergeCell ref="O6:R6"/>
    <mergeCell ref="O7:R7"/>
    <mergeCell ref="A6:A7"/>
    <mergeCell ref="B6:B7"/>
    <mergeCell ref="C6:C7"/>
    <mergeCell ref="D6:D7"/>
    <mergeCell ref="E6:E7"/>
    <mergeCell ref="F6:H6"/>
    <mergeCell ref="F7:H7"/>
    <mergeCell ref="L8:L11"/>
    <mergeCell ref="O8:R8"/>
    <mergeCell ref="F9:H9"/>
    <mergeCell ref="O9:R9"/>
    <mergeCell ref="F10:H10"/>
    <mergeCell ref="O10:R10"/>
    <mergeCell ref="F11:H11"/>
    <mergeCell ref="O11:R11"/>
    <mergeCell ref="A8:A12"/>
    <mergeCell ref="B8:B12"/>
    <mergeCell ref="C8:C11"/>
    <mergeCell ref="F8:H8"/>
    <mergeCell ref="J8:J11"/>
    <mergeCell ref="K8:K11"/>
    <mergeCell ref="F12:H12"/>
    <mergeCell ref="J14:J15"/>
    <mergeCell ref="K14:K15"/>
    <mergeCell ref="L14:L15"/>
    <mergeCell ref="M14:M15"/>
    <mergeCell ref="N14:N15"/>
    <mergeCell ref="O14:R14"/>
    <mergeCell ref="A14:A15"/>
    <mergeCell ref="B14:B15"/>
    <mergeCell ref="C14:C15"/>
    <mergeCell ref="D14:D15"/>
    <mergeCell ref="E14:E15"/>
    <mergeCell ref="F14:H14"/>
    <mergeCell ref="Q16:Q17"/>
    <mergeCell ref="R16:R17"/>
    <mergeCell ref="M19:M20"/>
    <mergeCell ref="O19:O20"/>
    <mergeCell ref="A16:A18"/>
    <mergeCell ref="B16:B18"/>
    <mergeCell ref="C16:C18"/>
    <mergeCell ref="D16:D17"/>
    <mergeCell ref="F16:F17"/>
    <mergeCell ref="J16:J20"/>
    <mergeCell ref="A23:A24"/>
    <mergeCell ref="B23:B24"/>
    <mergeCell ref="C23:D24"/>
    <mergeCell ref="E23:E24"/>
    <mergeCell ref="F23:H24"/>
    <mergeCell ref="K16:K20"/>
    <mergeCell ref="L16:L20"/>
    <mergeCell ref="M16:M17"/>
    <mergeCell ref="P16:P17"/>
    <mergeCell ref="K23:L23"/>
    <mergeCell ref="O23:P23"/>
    <mergeCell ref="Q23:R23"/>
    <mergeCell ref="K24:L24"/>
    <mergeCell ref="O24:P24"/>
    <mergeCell ref="Q24:R24"/>
    <mergeCell ref="C22:D22"/>
    <mergeCell ref="F22:H22"/>
    <mergeCell ref="K22:L22"/>
    <mergeCell ref="O22:P22"/>
    <mergeCell ref="Q22:R22"/>
    <mergeCell ref="C29:D29"/>
    <mergeCell ref="F29:H29"/>
    <mergeCell ref="A30:A31"/>
    <mergeCell ref="B30:C31"/>
    <mergeCell ref="D30:D31"/>
    <mergeCell ref="E30:E31"/>
    <mergeCell ref="F30:H31"/>
    <mergeCell ref="A25:H25"/>
    <mergeCell ref="A26:A28"/>
    <mergeCell ref="B26:B28"/>
    <mergeCell ref="C26:D28"/>
    <mergeCell ref="E26:E28"/>
    <mergeCell ref="F26:H28"/>
    <mergeCell ref="J30:J32"/>
    <mergeCell ref="A41:H41"/>
    <mergeCell ref="A44:B45"/>
    <mergeCell ref="C44:C45"/>
    <mergeCell ref="J36:J37"/>
    <mergeCell ref="K30:R32"/>
    <mergeCell ref="A32:A33"/>
    <mergeCell ref="B32:C33"/>
    <mergeCell ref="D32:D33"/>
    <mergeCell ref="E32:E35"/>
    <mergeCell ref="F32:H33"/>
    <mergeCell ref="J33:J35"/>
    <mergeCell ref="K33:R35"/>
    <mergeCell ref="A34:A35"/>
    <mergeCell ref="B34:C35"/>
    <mergeCell ref="D34:D35"/>
    <mergeCell ref="F34:H35"/>
    <mergeCell ref="K36:R37"/>
    <mergeCell ref="B38:C38"/>
    <mergeCell ref="F38:H38"/>
    <mergeCell ref="J38:J40"/>
    <mergeCell ref="K38:R40"/>
    <mergeCell ref="A39:H39"/>
    <mergeCell ref="A40:H40"/>
    <mergeCell ref="A36:A37"/>
    <mergeCell ref="B36:C37"/>
    <mergeCell ref="D36:D37"/>
    <mergeCell ref="E36:E38"/>
    <mergeCell ref="F36:H3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6" firstPageNumber="0" orientation="landscape" horizontalDpi="300" verticalDpi="300" r:id="rId1"/>
  <headerFooter scaleWithDoc="0">
    <oddHeader>&amp;L&amp;G&amp;R&amp;5Центр поддержки клиентов Grand Line: 8-800-770-77-36
cайт: www.grandline.ru</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1140</vt:i4>
      </vt:variant>
    </vt:vector>
  </HeadingPairs>
  <TitlesOfParts>
    <vt:vector size="1152" baseType="lpstr">
      <vt:lpstr>АКЦИИ на металл</vt:lpstr>
      <vt:lpstr>5_1_ЗАБОРЫ</vt:lpstr>
      <vt:lpstr>5_2_Доборные эл-ты ограждений</vt:lpstr>
      <vt:lpstr>5_3_Панельные ограждения</vt:lpstr>
      <vt:lpstr>5_4_Эл-ты панельных ограждений</vt:lpstr>
      <vt:lpstr>5_5_Модульные ограждения GL</vt:lpstr>
      <vt:lpstr>5_6_Временные огр и Рулон сетка</vt:lpstr>
      <vt:lpstr>5_7_Откат. ворота</vt:lpstr>
      <vt:lpstr>5_8_Распашные ворота и калитки</vt:lpstr>
      <vt:lpstr>5_9_Эл-ты ограждений Locinox</vt:lpstr>
      <vt:lpstr>7_3_Таблички и Флюгеры</vt:lpstr>
      <vt:lpstr>8_УПАКОВКА</vt:lpstr>
      <vt:lpstr>Classic_Atl</vt:lpstr>
      <vt:lpstr>Classic_dachPr</vt:lpstr>
      <vt:lpstr>Classic_dachPr_k</vt:lpstr>
      <vt:lpstr>Classic_dachPr_tw</vt:lpstr>
      <vt:lpstr>Classic_dachSk</vt:lpstr>
      <vt:lpstr>Classic_Dr</vt:lpstr>
      <vt:lpstr>Classic_Pe04</vt:lpstr>
      <vt:lpstr>Classic_Pe045</vt:lpstr>
      <vt:lpstr>Classic_Pe07</vt:lpstr>
      <vt:lpstr>Classic_Pe08</vt:lpstr>
      <vt:lpstr>Classic_PEdp</vt:lpstr>
      <vt:lpstr>Classic_PeMatt04</vt:lpstr>
      <vt:lpstr>Classic_Pt</vt:lpstr>
      <vt:lpstr>Classic_Ptdp</vt:lpstr>
      <vt:lpstr>Classic_PtRF</vt:lpstr>
      <vt:lpstr>Classic_Pur</vt:lpstr>
      <vt:lpstr>Classic_PurLiteMatt</vt:lpstr>
      <vt:lpstr>Classic_PurMatt</vt:lpstr>
      <vt:lpstr>Classic_Q</vt:lpstr>
      <vt:lpstr>Classic_Ql</vt:lpstr>
      <vt:lpstr>Classic_QproMatt</vt:lpstr>
      <vt:lpstr>Classic_Sat</vt:lpstr>
      <vt:lpstr>Classic_SatMatt</vt:lpstr>
      <vt:lpstr>Classic_Sf</vt:lpstr>
      <vt:lpstr>Classic_Sf_a</vt:lpstr>
      <vt:lpstr>Classic_StBarhat</vt:lpstr>
      <vt:lpstr>Classic_Vel</vt:lpstr>
      <vt:lpstr>Falz2_Atl</vt:lpstr>
      <vt:lpstr>Falz2_dachPr</vt:lpstr>
      <vt:lpstr>Falz2_dachPr_k</vt:lpstr>
      <vt:lpstr>Falz2_dachPr_tw</vt:lpstr>
      <vt:lpstr>Falz2_dachSk</vt:lpstr>
      <vt:lpstr>Falz2_Dr</vt:lpstr>
      <vt:lpstr>Falz2_Pe04</vt:lpstr>
      <vt:lpstr>Falz2_Pe045</vt:lpstr>
      <vt:lpstr>Falz2_Pe07</vt:lpstr>
      <vt:lpstr>Falz2_Pe08</vt:lpstr>
      <vt:lpstr>Falz2_PEdp</vt:lpstr>
      <vt:lpstr>Falz2_PeMatt04</vt:lpstr>
      <vt:lpstr>Falz2_Pt</vt:lpstr>
      <vt:lpstr>Falz2_Ptdp</vt:lpstr>
      <vt:lpstr>Falz2_Pur</vt:lpstr>
      <vt:lpstr>Falz2_PurLiteMatt</vt:lpstr>
      <vt:lpstr>Falz2_PurMatt</vt:lpstr>
      <vt:lpstr>Falz2_Q</vt:lpstr>
      <vt:lpstr>Falz2_Ql</vt:lpstr>
      <vt:lpstr>Falz2_QproMatt</vt:lpstr>
      <vt:lpstr>Falz2_Sat</vt:lpstr>
      <vt:lpstr>Falz2_SatMatt</vt:lpstr>
      <vt:lpstr>Falz2_Sf</vt:lpstr>
      <vt:lpstr>Falz2_Sf_a</vt:lpstr>
      <vt:lpstr>Falz2_StBarhat</vt:lpstr>
      <vt:lpstr>Falz2_Vel</vt:lpstr>
      <vt:lpstr>Falz2_Zn035</vt:lpstr>
      <vt:lpstr>Falz2_Zn04</vt:lpstr>
      <vt:lpstr>Falz2_Zn045</vt:lpstr>
      <vt:lpstr>Falz2_Zn05</vt:lpstr>
      <vt:lpstr>Falz2_Zn055</vt:lpstr>
      <vt:lpstr>Falz2_Zn07</vt:lpstr>
      <vt:lpstr>Falz2_Zn08</vt:lpstr>
      <vt:lpstr>Falz2_Zn09</vt:lpstr>
      <vt:lpstr>Kamea_Atl</vt:lpstr>
      <vt:lpstr>Kamea_dachPr</vt:lpstr>
      <vt:lpstr>Kamea_dachPr_k</vt:lpstr>
      <vt:lpstr>Kamea_dachPr_tw</vt:lpstr>
      <vt:lpstr>Kamea_dachSk</vt:lpstr>
      <vt:lpstr>Kamea_Dr</vt:lpstr>
      <vt:lpstr>Kamea_Pe04</vt:lpstr>
      <vt:lpstr>Kamea_Pe045</vt:lpstr>
      <vt:lpstr>Kamea_Pe07</vt:lpstr>
      <vt:lpstr>Kamea_Pe08</vt:lpstr>
      <vt:lpstr>Kamea_PEdp</vt:lpstr>
      <vt:lpstr>Kamea_PeMatt04</vt:lpstr>
      <vt:lpstr>Kamea_Pt</vt:lpstr>
      <vt:lpstr>Kamea_Ptdp</vt:lpstr>
      <vt:lpstr>Kamea_Pur</vt:lpstr>
      <vt:lpstr>Kamea_PurLiteMatt</vt:lpstr>
      <vt:lpstr>Kamea_PurMatt</vt:lpstr>
      <vt:lpstr>Kamea_Q</vt:lpstr>
      <vt:lpstr>Kamea_Ql</vt:lpstr>
      <vt:lpstr>Kamea_QproMatt</vt:lpstr>
      <vt:lpstr>Kamea_Sat</vt:lpstr>
      <vt:lpstr>Kamea_SatMatt</vt:lpstr>
      <vt:lpstr>Kamea_Sf</vt:lpstr>
      <vt:lpstr>Kamea_Sf_a</vt:lpstr>
      <vt:lpstr>Kamea_StBarhat</vt:lpstr>
      <vt:lpstr>Kamea_Vel</vt:lpstr>
      <vt:lpstr>Klik_Atl</vt:lpstr>
      <vt:lpstr>Klik_dachPr</vt:lpstr>
      <vt:lpstr>Klik_dachPr_k</vt:lpstr>
      <vt:lpstr>Klik_dachPr_tw</vt:lpstr>
      <vt:lpstr>Klik_dachSk</vt:lpstr>
      <vt:lpstr>Klik_Dr</vt:lpstr>
      <vt:lpstr>Klik_mini_Atl</vt:lpstr>
      <vt:lpstr>Klik_mini_dachPr</vt:lpstr>
      <vt:lpstr>Klik_mini_dachPr_k</vt:lpstr>
      <vt:lpstr>Klik_mini_dachPr_tw</vt:lpstr>
      <vt:lpstr>Klik_mini_dachSk</vt:lpstr>
      <vt:lpstr>Klik_mini_Dr</vt:lpstr>
      <vt:lpstr>Klik_mini_Pe04</vt:lpstr>
      <vt:lpstr>Klik_mini_Pe045</vt:lpstr>
      <vt:lpstr>Klik_mini_Pe07</vt:lpstr>
      <vt:lpstr>Klik_mini_Pe08</vt:lpstr>
      <vt:lpstr>Klik_mini_PEdp</vt:lpstr>
      <vt:lpstr>Klik_mini_PeMatt04</vt:lpstr>
      <vt:lpstr>Klik_mini_Pt</vt:lpstr>
      <vt:lpstr>Klik_mini_Ptdp</vt:lpstr>
      <vt:lpstr>Klik_mini_Pur</vt:lpstr>
      <vt:lpstr>Klik_mini_PurLiteMatt</vt:lpstr>
      <vt:lpstr>Klik_mini_PurMatt</vt:lpstr>
      <vt:lpstr>Klik_mini_Q</vt:lpstr>
      <vt:lpstr>Klik_mini_Ql</vt:lpstr>
      <vt:lpstr>Klik_mini_QproMatt</vt:lpstr>
      <vt:lpstr>Klik_mini_Sat</vt:lpstr>
      <vt:lpstr>Klik_mini_SatMatt</vt:lpstr>
      <vt:lpstr>Klik_mini_Sf</vt:lpstr>
      <vt:lpstr>Klik_mini_Sf_a</vt:lpstr>
      <vt:lpstr>Klik_mini_StBarhat</vt:lpstr>
      <vt:lpstr>Klik_mini_Vel</vt:lpstr>
      <vt:lpstr>Klik_mini_Zn035</vt:lpstr>
      <vt:lpstr>Klik_mini_Zn04</vt:lpstr>
      <vt:lpstr>Klik_mini_Zn045</vt:lpstr>
      <vt:lpstr>Klik_mini_Zn05</vt:lpstr>
      <vt:lpstr>Klik_mini_Zn055</vt:lpstr>
      <vt:lpstr>Klik_mini_Zn07</vt:lpstr>
      <vt:lpstr>Klik_mini_Zn08</vt:lpstr>
      <vt:lpstr>Klik_mini_Zn09</vt:lpstr>
      <vt:lpstr>Klik_Pe04</vt:lpstr>
      <vt:lpstr>Klik_Pe045</vt:lpstr>
      <vt:lpstr>Klik_Pe07</vt:lpstr>
      <vt:lpstr>Klik_Pe08</vt:lpstr>
      <vt:lpstr>Klik_PEdp</vt:lpstr>
      <vt:lpstr>Klik_PeMatt04</vt:lpstr>
      <vt:lpstr>Klik_Pt</vt:lpstr>
      <vt:lpstr>Klik_Ptdp</vt:lpstr>
      <vt:lpstr>Klik_Pur</vt:lpstr>
      <vt:lpstr>Klik_PurLiteMatt</vt:lpstr>
      <vt:lpstr>Klik_PurMatt</vt:lpstr>
      <vt:lpstr>Klik_Q</vt:lpstr>
      <vt:lpstr>Klik_Ql</vt:lpstr>
      <vt:lpstr>Klik_QproMatt</vt:lpstr>
      <vt:lpstr>Klik_Sat</vt:lpstr>
      <vt:lpstr>Klik_SatMatt</vt:lpstr>
      <vt:lpstr>Klik_Sf</vt:lpstr>
      <vt:lpstr>Klik_Sf_a</vt:lpstr>
      <vt:lpstr>Klik_StBarhat</vt:lpstr>
      <vt:lpstr>Klik_Vel</vt:lpstr>
      <vt:lpstr>Klik_Zn035</vt:lpstr>
      <vt:lpstr>Klik_Zn04</vt:lpstr>
      <vt:lpstr>Klik_Zn045</vt:lpstr>
      <vt:lpstr>Klik_Zn05</vt:lpstr>
      <vt:lpstr>Klik_Zn055</vt:lpstr>
      <vt:lpstr>Klik_Zn07</vt:lpstr>
      <vt:lpstr>Klik_Zn08</vt:lpstr>
      <vt:lpstr>Klik_Zn09</vt:lpstr>
      <vt:lpstr>KlikPro_Atl</vt:lpstr>
      <vt:lpstr>KlikPro_Dr</vt:lpstr>
      <vt:lpstr>KlikPro_Pe045</vt:lpstr>
      <vt:lpstr>KlikPro_Pt</vt:lpstr>
      <vt:lpstr>KlikPro_Ptdp</vt:lpstr>
      <vt:lpstr>KlikPro_Pur</vt:lpstr>
      <vt:lpstr>KlikPro_PurLiteMatt</vt:lpstr>
      <vt:lpstr>KlikPro_PurMatt</vt:lpstr>
      <vt:lpstr>KlikPro_Q</vt:lpstr>
      <vt:lpstr>KlikPro_Ql</vt:lpstr>
      <vt:lpstr>KlikPro_QproMatt</vt:lpstr>
      <vt:lpstr>KlikPro_Sat</vt:lpstr>
      <vt:lpstr>KlikPro_SatMatt</vt:lpstr>
      <vt:lpstr>KlikPro_Sf</vt:lpstr>
      <vt:lpstr>KlikPro_Sf_a</vt:lpstr>
      <vt:lpstr>KlikPro_StBarhat</vt:lpstr>
      <vt:lpstr>KlikPro_Vel</vt:lpstr>
      <vt:lpstr>KlikPro_Zn045</vt:lpstr>
      <vt:lpstr>KlikPro_Zn05</vt:lpstr>
      <vt:lpstr>KlikPro_Zn055</vt:lpstr>
      <vt:lpstr>Kredo_Atl</vt:lpstr>
      <vt:lpstr>Kredo_dachPr</vt:lpstr>
      <vt:lpstr>Kredo_dachPr_k</vt:lpstr>
      <vt:lpstr>Kredo_dachPr_tw</vt:lpstr>
      <vt:lpstr>Kredo_dachSk</vt:lpstr>
      <vt:lpstr>Kredo_Dr</vt:lpstr>
      <vt:lpstr>Kredo_Pe04</vt:lpstr>
      <vt:lpstr>Kredo_Pe045</vt:lpstr>
      <vt:lpstr>Kredo_Pe07</vt:lpstr>
      <vt:lpstr>Kredo_Pe08</vt:lpstr>
      <vt:lpstr>Kredo_PEdp</vt:lpstr>
      <vt:lpstr>Kredo_PeMatt04</vt:lpstr>
      <vt:lpstr>Kredo_Pt</vt:lpstr>
      <vt:lpstr>Kredo_Ptdp</vt:lpstr>
      <vt:lpstr>Kredo_Pur</vt:lpstr>
      <vt:lpstr>Kredo_PurLiteMatt</vt:lpstr>
      <vt:lpstr>Kredo_PurMatt</vt:lpstr>
      <vt:lpstr>Kredo_Q</vt:lpstr>
      <vt:lpstr>Kredo_Ql</vt:lpstr>
      <vt:lpstr>Kredo_QproMatt</vt:lpstr>
      <vt:lpstr>Kredo_Sat</vt:lpstr>
      <vt:lpstr>Kredo_SatMatt</vt:lpstr>
      <vt:lpstr>Kredo_Sf</vt:lpstr>
      <vt:lpstr>Kredo_Sf_a</vt:lpstr>
      <vt:lpstr>Kredo_StBarhat</vt:lpstr>
      <vt:lpstr>Kredo_Vel</vt:lpstr>
      <vt:lpstr>KvintaPl_Atl</vt:lpstr>
      <vt:lpstr>KvintaPl_dachPr</vt:lpstr>
      <vt:lpstr>KvintaPl_dachPr_k</vt:lpstr>
      <vt:lpstr>KvintaPl_dachPr_tw</vt:lpstr>
      <vt:lpstr>KvintaPl_dachSk</vt:lpstr>
      <vt:lpstr>KvintaPl_Dr</vt:lpstr>
      <vt:lpstr>KvintaPl_Pe04</vt:lpstr>
      <vt:lpstr>KvintaPl_Pe045</vt:lpstr>
      <vt:lpstr>KvintaPl_Pe07</vt:lpstr>
      <vt:lpstr>KvintaPl_Pe08</vt:lpstr>
      <vt:lpstr>KvintaPl_PEdp</vt:lpstr>
      <vt:lpstr>KvintaPl_PeMatt04</vt:lpstr>
      <vt:lpstr>KvintaPl_Pt</vt:lpstr>
      <vt:lpstr>KvintaPl_Ptdp</vt:lpstr>
      <vt:lpstr>KvintaPl_Pur</vt:lpstr>
      <vt:lpstr>KvintaPl_PurLiteMatt</vt:lpstr>
      <vt:lpstr>KvintaPl_PurMatt</vt:lpstr>
      <vt:lpstr>KvintaPl_Q</vt:lpstr>
      <vt:lpstr>KvintaPl_Ql</vt:lpstr>
      <vt:lpstr>KvintaPl_QproMatt</vt:lpstr>
      <vt:lpstr>KvintaPl_Sat</vt:lpstr>
      <vt:lpstr>KvintaPl_SatMatt</vt:lpstr>
      <vt:lpstr>KvintaPl_Sf</vt:lpstr>
      <vt:lpstr>KvintaPl_Sf_a</vt:lpstr>
      <vt:lpstr>KvintaPl_StBarhat</vt:lpstr>
      <vt:lpstr>KvintaPl_Vel</vt:lpstr>
      <vt:lpstr>KvintaUno_Atl</vt:lpstr>
      <vt:lpstr>KvintaUno_Dr</vt:lpstr>
      <vt:lpstr>KvintaUno_Pe045</vt:lpstr>
      <vt:lpstr>KvintaUno_PeMatt04</vt:lpstr>
      <vt:lpstr>KvintaUno_Pt</vt:lpstr>
      <vt:lpstr>KvintaUno_Ptdp</vt:lpstr>
      <vt:lpstr>KvintaUno_Pur</vt:lpstr>
      <vt:lpstr>KvintaUno_PurLiteMatt</vt:lpstr>
      <vt:lpstr>KvintaUno_PurMatt</vt:lpstr>
      <vt:lpstr>KvintaUno_Q</vt:lpstr>
      <vt:lpstr>KvintaUno_Ql</vt:lpstr>
      <vt:lpstr>KvintaUno_QproMatt</vt:lpstr>
      <vt:lpstr>KvintaUno_Sat</vt:lpstr>
      <vt:lpstr>KvintaUno_SatMatt</vt:lpstr>
      <vt:lpstr>KvintaUno_Sf</vt:lpstr>
      <vt:lpstr>KvintaUno_Sf_a</vt:lpstr>
      <vt:lpstr>KvintaUno_StBarhat</vt:lpstr>
      <vt:lpstr>KvintaUno_Vel</vt:lpstr>
      <vt:lpstr>List_Atl</vt:lpstr>
      <vt:lpstr>List_dachPr</vt:lpstr>
      <vt:lpstr>List_dachPr_k</vt:lpstr>
      <vt:lpstr>List_dachPr_tw</vt:lpstr>
      <vt:lpstr>List_dachSk</vt:lpstr>
      <vt:lpstr>List_Dr</vt:lpstr>
      <vt:lpstr>List_Pe04</vt:lpstr>
      <vt:lpstr>List_Pe045</vt:lpstr>
      <vt:lpstr>List_Pe07</vt:lpstr>
      <vt:lpstr>List_Pe08</vt:lpstr>
      <vt:lpstr>List_PEdp</vt:lpstr>
      <vt:lpstr>List_PeMatt04</vt:lpstr>
      <vt:lpstr>List_Pt</vt:lpstr>
      <vt:lpstr>List_Ptdp</vt:lpstr>
      <vt:lpstr>List_PtRF</vt:lpstr>
      <vt:lpstr>List_Pur</vt:lpstr>
      <vt:lpstr>List_PurLiteMatt</vt:lpstr>
      <vt:lpstr>List_PurMatt</vt:lpstr>
      <vt:lpstr>List_Q</vt:lpstr>
      <vt:lpstr>List_Ql</vt:lpstr>
      <vt:lpstr>List_QproMatt</vt:lpstr>
      <vt:lpstr>List_Sat</vt:lpstr>
      <vt:lpstr>List_SatMatt</vt:lpstr>
      <vt:lpstr>List_Sf</vt:lpstr>
      <vt:lpstr>List_Sf_a</vt:lpstr>
      <vt:lpstr>List_StBarhat</vt:lpstr>
      <vt:lpstr>List_Vel</vt:lpstr>
      <vt:lpstr>List_Zn035</vt:lpstr>
      <vt:lpstr>List_Zn04</vt:lpstr>
      <vt:lpstr>List_Zn045</vt:lpstr>
      <vt:lpstr>List_Zn05</vt:lpstr>
      <vt:lpstr>List_Zn055</vt:lpstr>
      <vt:lpstr>List_Zn07</vt:lpstr>
      <vt:lpstr>List_Zn08</vt:lpstr>
      <vt:lpstr>List_Zn09</vt:lpstr>
      <vt:lpstr>Modern_Atl</vt:lpstr>
      <vt:lpstr>Modern_dachPr</vt:lpstr>
      <vt:lpstr>Modern_dachPr_k</vt:lpstr>
      <vt:lpstr>Modern_dachPr_tw</vt:lpstr>
      <vt:lpstr>Modern_dachSk</vt:lpstr>
      <vt:lpstr>Modern_Dr</vt:lpstr>
      <vt:lpstr>Modern_Pe04</vt:lpstr>
      <vt:lpstr>Modern_Pe045</vt:lpstr>
      <vt:lpstr>Modern_Pe07</vt:lpstr>
      <vt:lpstr>Modern_Pe08</vt:lpstr>
      <vt:lpstr>Modern_PEdp</vt:lpstr>
      <vt:lpstr>Modern_PeMatt04</vt:lpstr>
      <vt:lpstr>Modern_Pt</vt:lpstr>
      <vt:lpstr>Modern_Ptdp</vt:lpstr>
      <vt:lpstr>Modern_Pur</vt:lpstr>
      <vt:lpstr>Modern_PurLiteMatt</vt:lpstr>
      <vt:lpstr>Modern_PurMatt</vt:lpstr>
      <vt:lpstr>Modern_Q</vt:lpstr>
      <vt:lpstr>Modern_Ql</vt:lpstr>
      <vt:lpstr>Modern_QproMatt</vt:lpstr>
      <vt:lpstr>Modern_Sat</vt:lpstr>
      <vt:lpstr>Modern_SatMatt</vt:lpstr>
      <vt:lpstr>Modern_Sf</vt:lpstr>
      <vt:lpstr>Modern_Sf_a</vt:lpstr>
      <vt:lpstr>Modern_StBarhat</vt:lpstr>
      <vt:lpstr>Modern_Vel</vt:lpstr>
      <vt:lpstr>OMXNN</vt:lpstr>
      <vt:lpstr>PnC10_Atl</vt:lpstr>
      <vt:lpstr>PnC10_dachPr</vt:lpstr>
      <vt:lpstr>PnC10_dachPr_k</vt:lpstr>
      <vt:lpstr>PnC10_dachPr_tw</vt:lpstr>
      <vt:lpstr>PnC10_dachSk</vt:lpstr>
      <vt:lpstr>PnC10_Dr</vt:lpstr>
      <vt:lpstr>PnC10_Pe04</vt:lpstr>
      <vt:lpstr>PnC10_Pe045</vt:lpstr>
      <vt:lpstr>PnC10_Pe07</vt:lpstr>
      <vt:lpstr>PnC10_Pe08</vt:lpstr>
      <vt:lpstr>PnC10_PEdp</vt:lpstr>
      <vt:lpstr>PnC10_PeMatt04</vt:lpstr>
      <vt:lpstr>PnC10_Pt</vt:lpstr>
      <vt:lpstr>PnC10_Ptdp</vt:lpstr>
      <vt:lpstr>PnC10_PtRF</vt:lpstr>
      <vt:lpstr>PnC10_Pur</vt:lpstr>
      <vt:lpstr>PnC10_PurLiteMatt</vt:lpstr>
      <vt:lpstr>PnC10_PurMatt</vt:lpstr>
      <vt:lpstr>PnC10_Q</vt:lpstr>
      <vt:lpstr>PnC10_Ql</vt:lpstr>
      <vt:lpstr>PnC10_QproMatt</vt:lpstr>
      <vt:lpstr>PnC10_Sat</vt:lpstr>
      <vt:lpstr>PnC10_SatMatt</vt:lpstr>
      <vt:lpstr>PnC10_Sf</vt:lpstr>
      <vt:lpstr>PnC10_Sf_a</vt:lpstr>
      <vt:lpstr>PnC10_StBarhat</vt:lpstr>
      <vt:lpstr>PnC10_Vel</vt:lpstr>
      <vt:lpstr>PnC10_Zn035</vt:lpstr>
      <vt:lpstr>PnC10_Zn04</vt:lpstr>
      <vt:lpstr>PnC10_Zn045</vt:lpstr>
      <vt:lpstr>PnC10_Zn05</vt:lpstr>
      <vt:lpstr>PnC10_Zn055</vt:lpstr>
      <vt:lpstr>PnC10_Zn07</vt:lpstr>
      <vt:lpstr>PnC10_Zn08</vt:lpstr>
      <vt:lpstr>PnC10_Zn09</vt:lpstr>
      <vt:lpstr>PnC10f_Atl</vt:lpstr>
      <vt:lpstr>PnC10f_dachPr</vt:lpstr>
      <vt:lpstr>PnC10f_dachPr_k</vt:lpstr>
      <vt:lpstr>PnC10f_dachPr_tw</vt:lpstr>
      <vt:lpstr>PnC10f_dachSk</vt:lpstr>
      <vt:lpstr>PnC10f_Dr</vt:lpstr>
      <vt:lpstr>PnC10f_Pe04</vt:lpstr>
      <vt:lpstr>PnC10f_Pe045</vt:lpstr>
      <vt:lpstr>PnC10f_Pe07</vt:lpstr>
      <vt:lpstr>PnC10f_Pe08</vt:lpstr>
      <vt:lpstr>PnC10f_PEdp</vt:lpstr>
      <vt:lpstr>PnC10f_PeMatt04</vt:lpstr>
      <vt:lpstr>PnC10f_Pt</vt:lpstr>
      <vt:lpstr>PnC10f_Ptdp</vt:lpstr>
      <vt:lpstr>PnC10f_PtRF</vt:lpstr>
      <vt:lpstr>PnC10f_Pur</vt:lpstr>
      <vt:lpstr>PnC10f_PurLiteMatt</vt:lpstr>
      <vt:lpstr>PnC10f_PurMatt</vt:lpstr>
      <vt:lpstr>PnC10f_Q</vt:lpstr>
      <vt:lpstr>PnC10f_Ql</vt:lpstr>
      <vt:lpstr>PnC10f_QproMatt</vt:lpstr>
      <vt:lpstr>PnC10f_Sat</vt:lpstr>
      <vt:lpstr>PnC10f_SatMatt</vt:lpstr>
      <vt:lpstr>PnC10f_Sf</vt:lpstr>
      <vt:lpstr>PnC10f_Sf_a</vt:lpstr>
      <vt:lpstr>PnC10f_StBarhat</vt:lpstr>
      <vt:lpstr>PnC10f_Vel</vt:lpstr>
      <vt:lpstr>PnC10f_Zn035</vt:lpstr>
      <vt:lpstr>PnC10f_Zn04</vt:lpstr>
      <vt:lpstr>PnC10f_Zn045</vt:lpstr>
      <vt:lpstr>PnC10f_Zn05</vt:lpstr>
      <vt:lpstr>PnC10f_Zn055</vt:lpstr>
      <vt:lpstr>PnC10f_Zn07</vt:lpstr>
      <vt:lpstr>PnC10f_Zn08</vt:lpstr>
      <vt:lpstr>PnC10f_Zn09</vt:lpstr>
      <vt:lpstr>PnC20_Atl</vt:lpstr>
      <vt:lpstr>PnC20_dachPr</vt:lpstr>
      <vt:lpstr>PnC20_dachPr_k</vt:lpstr>
      <vt:lpstr>PnC20_dachPr_tw</vt:lpstr>
      <vt:lpstr>PnC20_dachSk</vt:lpstr>
      <vt:lpstr>PnC20_Dr</vt:lpstr>
      <vt:lpstr>PnC20_Pe04</vt:lpstr>
      <vt:lpstr>PnC20_Pe045</vt:lpstr>
      <vt:lpstr>PnC20_Pe07</vt:lpstr>
      <vt:lpstr>PnC20_Pe08</vt:lpstr>
      <vt:lpstr>PnC20_PEdp</vt:lpstr>
      <vt:lpstr>PnC20_PeMatt04</vt:lpstr>
      <vt:lpstr>PnC20_Pt</vt:lpstr>
      <vt:lpstr>PnC20_Ptdp</vt:lpstr>
      <vt:lpstr>PnC20_PtRF</vt:lpstr>
      <vt:lpstr>PnC20_Pur</vt:lpstr>
      <vt:lpstr>PnC20_PurLiteMatt</vt:lpstr>
      <vt:lpstr>PnC20_PurMatt</vt:lpstr>
      <vt:lpstr>PnC20_Q</vt:lpstr>
      <vt:lpstr>PnC20_Ql</vt:lpstr>
      <vt:lpstr>PnC20_QproMatt</vt:lpstr>
      <vt:lpstr>PnC20_Sat</vt:lpstr>
      <vt:lpstr>PnC20_SatMatt</vt:lpstr>
      <vt:lpstr>PnC20_Sf</vt:lpstr>
      <vt:lpstr>PnC20_Sf_a</vt:lpstr>
      <vt:lpstr>PnC20_StBarhat</vt:lpstr>
      <vt:lpstr>PnC20_Vel</vt:lpstr>
      <vt:lpstr>PnC20_Zn035</vt:lpstr>
      <vt:lpstr>PnC20_Zn04</vt:lpstr>
      <vt:lpstr>PnC20_Zn045</vt:lpstr>
      <vt:lpstr>PnC20_Zn05</vt:lpstr>
      <vt:lpstr>PnC20_Zn055</vt:lpstr>
      <vt:lpstr>PnC20_Zn07</vt:lpstr>
      <vt:lpstr>PnC20_Zn08</vt:lpstr>
      <vt:lpstr>PnC20_Zn09</vt:lpstr>
      <vt:lpstr>PnC20f_Atl</vt:lpstr>
      <vt:lpstr>PnC20f_Dr</vt:lpstr>
      <vt:lpstr>PnC20f_Pe046</vt:lpstr>
      <vt:lpstr>PnC20f_PEdp</vt:lpstr>
      <vt:lpstr>PnC20f_Pt</vt:lpstr>
      <vt:lpstr>PnC20f_Ql</vt:lpstr>
      <vt:lpstr>PnC20f_Sat</vt:lpstr>
      <vt:lpstr>PnC20f_Sf</vt:lpstr>
      <vt:lpstr>PnC20f_Sf_a</vt:lpstr>
      <vt:lpstr>PnC20f_Vel</vt:lpstr>
      <vt:lpstr>PnC20f_Zn046</vt:lpstr>
      <vt:lpstr>PnC21_Atl</vt:lpstr>
      <vt:lpstr>PnC21_dachPr</vt:lpstr>
      <vt:lpstr>PnC21_dachPr_k</vt:lpstr>
      <vt:lpstr>PnC21_dachPr_tw</vt:lpstr>
      <vt:lpstr>PnC21_dachSk</vt:lpstr>
      <vt:lpstr>PnC21_Dr</vt:lpstr>
      <vt:lpstr>PnC21_Pe04</vt:lpstr>
      <vt:lpstr>PnC21_Pe045</vt:lpstr>
      <vt:lpstr>PnC21_Pe07</vt:lpstr>
      <vt:lpstr>PnC21_Pe08</vt:lpstr>
      <vt:lpstr>PnC21_PEdp</vt:lpstr>
      <vt:lpstr>PnC21_PeMatt04</vt:lpstr>
      <vt:lpstr>PnC21_Pt</vt:lpstr>
      <vt:lpstr>PnC21_Ptdp</vt:lpstr>
      <vt:lpstr>PnC21_PtRF</vt:lpstr>
      <vt:lpstr>PnC21_Pur</vt:lpstr>
      <vt:lpstr>PnC21_PurLiteMatt</vt:lpstr>
      <vt:lpstr>PnC21_PurMatt</vt:lpstr>
      <vt:lpstr>PnC21_Q</vt:lpstr>
      <vt:lpstr>PnC21_Ql</vt:lpstr>
      <vt:lpstr>PnC21_QproMatt</vt:lpstr>
      <vt:lpstr>PnC21_Sat</vt:lpstr>
      <vt:lpstr>PnC21_SatMatt</vt:lpstr>
      <vt:lpstr>PnC21_Sf</vt:lpstr>
      <vt:lpstr>PnC21_Sf_a</vt:lpstr>
      <vt:lpstr>PnC21_StBarhat</vt:lpstr>
      <vt:lpstr>PnC21_Vel</vt:lpstr>
      <vt:lpstr>PnC21_Zn035</vt:lpstr>
      <vt:lpstr>PnC21_Zn04</vt:lpstr>
      <vt:lpstr>PnC21_Zn045</vt:lpstr>
      <vt:lpstr>PnC21_Zn05</vt:lpstr>
      <vt:lpstr>PnC21_Zn055</vt:lpstr>
      <vt:lpstr>PnC21_Zn07</vt:lpstr>
      <vt:lpstr>PnC21_Zn08</vt:lpstr>
      <vt:lpstr>PnC21_Zn09</vt:lpstr>
      <vt:lpstr>PnC8_Atl</vt:lpstr>
      <vt:lpstr>PnC8_dachPr</vt:lpstr>
      <vt:lpstr>PnC8_dachPr_k</vt:lpstr>
      <vt:lpstr>PnC8_dachPr_tw</vt:lpstr>
      <vt:lpstr>PnC8_dachSk</vt:lpstr>
      <vt:lpstr>PnC8_Dr</vt:lpstr>
      <vt:lpstr>PnC8_Pe04</vt:lpstr>
      <vt:lpstr>PnC8_Pe045</vt:lpstr>
      <vt:lpstr>PnC8_Pe07</vt:lpstr>
      <vt:lpstr>PnC8_Pe08</vt:lpstr>
      <vt:lpstr>PnC8_PEdp</vt:lpstr>
      <vt:lpstr>PnC8_PeMatt04</vt:lpstr>
      <vt:lpstr>PnC8_Pt</vt:lpstr>
      <vt:lpstr>PnC8_Ptdp</vt:lpstr>
      <vt:lpstr>PnC8_PtRF</vt:lpstr>
      <vt:lpstr>PnC8_Pur</vt:lpstr>
      <vt:lpstr>PnC8_PurLiteMatt</vt:lpstr>
      <vt:lpstr>PnC8_PurMatt</vt:lpstr>
      <vt:lpstr>PnC8_Q</vt:lpstr>
      <vt:lpstr>PnC8_Ql</vt:lpstr>
      <vt:lpstr>PnC8_QproMatt</vt:lpstr>
      <vt:lpstr>PnC8_Sat</vt:lpstr>
      <vt:lpstr>PnC8_SatMatt</vt:lpstr>
      <vt:lpstr>PnC8_Sf</vt:lpstr>
      <vt:lpstr>PnC8_Sf_a</vt:lpstr>
      <vt:lpstr>PnC8_StBarhat</vt:lpstr>
      <vt:lpstr>PnC8_Vel</vt:lpstr>
      <vt:lpstr>PnC8_Zn035</vt:lpstr>
      <vt:lpstr>PnC8_Zn04</vt:lpstr>
      <vt:lpstr>PnC8_Zn045</vt:lpstr>
      <vt:lpstr>PnC8_Zn05</vt:lpstr>
      <vt:lpstr>PnC8_Zn055</vt:lpstr>
      <vt:lpstr>PnC8_Zn07</vt:lpstr>
      <vt:lpstr>PnC8_Zn08</vt:lpstr>
      <vt:lpstr>PnC8_Zn09</vt:lpstr>
      <vt:lpstr>PnC8f_Atl</vt:lpstr>
      <vt:lpstr>PnC8f_Dr</vt:lpstr>
      <vt:lpstr>PnC8f_Pe04</vt:lpstr>
      <vt:lpstr>PnC8f_Pe045</vt:lpstr>
      <vt:lpstr>PnC8f_PEdp</vt:lpstr>
      <vt:lpstr>PnC8f_PeMatt04</vt:lpstr>
      <vt:lpstr>PnC8f_Pt</vt:lpstr>
      <vt:lpstr>PnC8f_Ptdp</vt:lpstr>
      <vt:lpstr>PnC8f_PtRF</vt:lpstr>
      <vt:lpstr>PnC8f_Pur</vt:lpstr>
      <vt:lpstr>PnC8f_PurLiteMatt</vt:lpstr>
      <vt:lpstr>PnC8f_PurMatt</vt:lpstr>
      <vt:lpstr>PnC8f_Q</vt:lpstr>
      <vt:lpstr>PnC8f_Ql</vt:lpstr>
      <vt:lpstr>PnC8f_QproMatt</vt:lpstr>
      <vt:lpstr>PnC8f_Sat</vt:lpstr>
      <vt:lpstr>PnC8f_SatMatt</vt:lpstr>
      <vt:lpstr>PnC8f_Sf</vt:lpstr>
      <vt:lpstr>PnC8f_Sf_a</vt:lpstr>
      <vt:lpstr>PnC8f_StBarhat</vt:lpstr>
      <vt:lpstr>PnC8f_Vel</vt:lpstr>
      <vt:lpstr>PnC8f_Zn045</vt:lpstr>
      <vt:lpstr>PnC8f_Zn05</vt:lpstr>
      <vt:lpstr>PnH60_Atl</vt:lpstr>
      <vt:lpstr>PnH60_dachPr</vt:lpstr>
      <vt:lpstr>PnH60_dachPr_k</vt:lpstr>
      <vt:lpstr>PnH60_dachPr_tw</vt:lpstr>
      <vt:lpstr>PnH60_dachSk</vt:lpstr>
      <vt:lpstr>PnH60_Dr</vt:lpstr>
      <vt:lpstr>PnH60_Pe04</vt:lpstr>
      <vt:lpstr>PnH60_Pe045</vt:lpstr>
      <vt:lpstr>PnH60_Pe07</vt:lpstr>
      <vt:lpstr>PnH60_Pe08</vt:lpstr>
      <vt:lpstr>PnH60_PEdp</vt:lpstr>
      <vt:lpstr>PnH60_PeMatt04</vt:lpstr>
      <vt:lpstr>PnH60_Pt</vt:lpstr>
      <vt:lpstr>PnH60_Ptdp</vt:lpstr>
      <vt:lpstr>PnH60_PtRF</vt:lpstr>
      <vt:lpstr>PnH60_Pur</vt:lpstr>
      <vt:lpstr>PnH60_PurLiteMatt</vt:lpstr>
      <vt:lpstr>PnH60_PurMatt</vt:lpstr>
      <vt:lpstr>PnH60_Q</vt:lpstr>
      <vt:lpstr>PnH60_Ql</vt:lpstr>
      <vt:lpstr>PnH60_QproMatt</vt:lpstr>
      <vt:lpstr>PnH60_Sat</vt:lpstr>
      <vt:lpstr>PnH60_SatMatt</vt:lpstr>
      <vt:lpstr>PnH60_Sf</vt:lpstr>
      <vt:lpstr>PnH60_Sf_a</vt:lpstr>
      <vt:lpstr>PnH60_StBarhat</vt:lpstr>
      <vt:lpstr>PnH60_Vel</vt:lpstr>
      <vt:lpstr>PnH60_Zn035</vt:lpstr>
      <vt:lpstr>PnH60_Zn04</vt:lpstr>
      <vt:lpstr>PnH60_Zn045</vt:lpstr>
      <vt:lpstr>PnH60_Zn05</vt:lpstr>
      <vt:lpstr>PnH60_Zn055</vt:lpstr>
      <vt:lpstr>PnH60_Zn07</vt:lpstr>
      <vt:lpstr>PnH60_Zn08</vt:lpstr>
      <vt:lpstr>PnH60_Zn09</vt:lpstr>
      <vt:lpstr>PnH75_Atl</vt:lpstr>
      <vt:lpstr>PnH75_dachPr</vt:lpstr>
      <vt:lpstr>PnH75_dachPr_k</vt:lpstr>
      <vt:lpstr>PnH75_dachPr_tw</vt:lpstr>
      <vt:lpstr>PnH75_dachSk</vt:lpstr>
      <vt:lpstr>PnH75_Dr</vt:lpstr>
      <vt:lpstr>PnH75_Pe04</vt:lpstr>
      <vt:lpstr>PnH75_Pe045</vt:lpstr>
      <vt:lpstr>PnH75_Pe07</vt:lpstr>
      <vt:lpstr>PnH75_Pe08</vt:lpstr>
      <vt:lpstr>PnH75_PEdp</vt:lpstr>
      <vt:lpstr>PnH75_PeMatt04</vt:lpstr>
      <vt:lpstr>PnH75_Pt</vt:lpstr>
      <vt:lpstr>PnH75_Ptdp</vt:lpstr>
      <vt:lpstr>PnH75_Pur</vt:lpstr>
      <vt:lpstr>PnH75_PurLiteMatt</vt:lpstr>
      <vt:lpstr>PnH75_PurMatt</vt:lpstr>
      <vt:lpstr>PnH75_Q</vt:lpstr>
      <vt:lpstr>PnH75_Ql</vt:lpstr>
      <vt:lpstr>PnH75_QproMatt</vt:lpstr>
      <vt:lpstr>PnH75_Sat</vt:lpstr>
      <vt:lpstr>PnH75_SatMatt</vt:lpstr>
      <vt:lpstr>PnH75_Sf</vt:lpstr>
      <vt:lpstr>PnH75_Sf_a</vt:lpstr>
      <vt:lpstr>PnH75_StBarhat</vt:lpstr>
      <vt:lpstr>PnH75_Vel</vt:lpstr>
      <vt:lpstr>PnH75_Zn035</vt:lpstr>
      <vt:lpstr>PnH75_Zn04</vt:lpstr>
      <vt:lpstr>PnH75_Zn045</vt:lpstr>
      <vt:lpstr>PnH75_Zn05</vt:lpstr>
      <vt:lpstr>PnH75_Zn055</vt:lpstr>
      <vt:lpstr>PnH75_Zn07</vt:lpstr>
      <vt:lpstr>PnH75_Zn08</vt:lpstr>
      <vt:lpstr>PnH75_Zn09</vt:lpstr>
      <vt:lpstr>PnHC35_Atl</vt:lpstr>
      <vt:lpstr>PnHC35_dachPr</vt:lpstr>
      <vt:lpstr>PnHC35_dachPr_k</vt:lpstr>
      <vt:lpstr>PnHC35_dachPr_tw</vt:lpstr>
      <vt:lpstr>PnHC35_dachSk</vt:lpstr>
      <vt:lpstr>PnHC35_Dr</vt:lpstr>
      <vt:lpstr>PnHC35_Pe04</vt:lpstr>
      <vt:lpstr>PnHC35_Pe045</vt:lpstr>
      <vt:lpstr>PnHC35_Pe07</vt:lpstr>
      <vt:lpstr>PnHC35_Pe08</vt:lpstr>
      <vt:lpstr>PnHC35_PEdp</vt:lpstr>
      <vt:lpstr>PnHC35_PeMatt04</vt:lpstr>
      <vt:lpstr>PnHC35_Pt</vt:lpstr>
      <vt:lpstr>PnHC35_Ptdp</vt:lpstr>
      <vt:lpstr>PnHC35_PtRF</vt:lpstr>
      <vt:lpstr>PnHC35_Pur</vt:lpstr>
      <vt:lpstr>PnHC35_PurLiteMatt</vt:lpstr>
      <vt:lpstr>PnHC35_PurMatt</vt:lpstr>
      <vt:lpstr>PnHC35_Q</vt:lpstr>
      <vt:lpstr>PnHC35_Ql</vt:lpstr>
      <vt:lpstr>PnHC35_QproMatt</vt:lpstr>
      <vt:lpstr>PnHC35_Sat</vt:lpstr>
      <vt:lpstr>PnHC35_SatMatt</vt:lpstr>
      <vt:lpstr>PnHC35_Sf</vt:lpstr>
      <vt:lpstr>PnHC35_Sf_a</vt:lpstr>
      <vt:lpstr>PnHC35_StBarhat</vt:lpstr>
      <vt:lpstr>PnHC35_Vel</vt:lpstr>
      <vt:lpstr>PnHC35_Zn035</vt:lpstr>
      <vt:lpstr>PnHC35_Zn04</vt:lpstr>
      <vt:lpstr>PnHC35_Zn045</vt:lpstr>
      <vt:lpstr>PnHC35_Zn05</vt:lpstr>
      <vt:lpstr>PnHC35_Zn055</vt:lpstr>
      <vt:lpstr>PnHC35_Zn07</vt:lpstr>
      <vt:lpstr>PnHC35_Zn08</vt:lpstr>
      <vt:lpstr>PnHC35_Zn09</vt:lpstr>
      <vt:lpstr>Quadro_Atl</vt:lpstr>
      <vt:lpstr>Quadro_dachPr</vt:lpstr>
      <vt:lpstr>Quadro_dachPr_k</vt:lpstr>
      <vt:lpstr>Quadro_dachPr_tw</vt:lpstr>
      <vt:lpstr>Quadro_dachSk</vt:lpstr>
      <vt:lpstr>Quadro_Dr</vt:lpstr>
      <vt:lpstr>Quadro_Pe04</vt:lpstr>
      <vt:lpstr>Quadro_Pe045</vt:lpstr>
      <vt:lpstr>Quadro_Pe07</vt:lpstr>
      <vt:lpstr>Quadro_Pe08</vt:lpstr>
      <vt:lpstr>Quadro_PEdp</vt:lpstr>
      <vt:lpstr>Quadro_PeMatt04</vt:lpstr>
      <vt:lpstr>Quadro_Pt</vt:lpstr>
      <vt:lpstr>Quadro_Ptdp</vt:lpstr>
      <vt:lpstr>Quadro_Pur</vt:lpstr>
      <vt:lpstr>Quadro_PurLiteMatt</vt:lpstr>
      <vt:lpstr>Quadro_PurMatt</vt:lpstr>
      <vt:lpstr>Quadro_Q</vt:lpstr>
      <vt:lpstr>Quadro_Ql</vt:lpstr>
      <vt:lpstr>Quadro_QproMatt</vt:lpstr>
      <vt:lpstr>Quadro_Sat</vt:lpstr>
      <vt:lpstr>Quadro_SatMatt</vt:lpstr>
      <vt:lpstr>Quadro_Sf</vt:lpstr>
      <vt:lpstr>Quadro_Sf_a</vt:lpstr>
      <vt:lpstr>Quadro_StBarhat</vt:lpstr>
      <vt:lpstr>Quadro_Vel</vt:lpstr>
      <vt:lpstr>S_BHaus_Atl</vt:lpstr>
      <vt:lpstr>S_BHaus_dachPr</vt:lpstr>
      <vt:lpstr>S_BHaus_dachPr_k</vt:lpstr>
      <vt:lpstr>S_BHaus_dachPr_tw</vt:lpstr>
      <vt:lpstr>S_BHaus_dachSk</vt:lpstr>
      <vt:lpstr>S_BHaus_Dr</vt:lpstr>
      <vt:lpstr>S_BHaus_Pe04</vt:lpstr>
      <vt:lpstr>S_BHaus_Pe045</vt:lpstr>
      <vt:lpstr>S_BHaus_Pe07</vt:lpstr>
      <vt:lpstr>S_BHaus_Pe08</vt:lpstr>
      <vt:lpstr>S_BHaus_PEdp</vt:lpstr>
      <vt:lpstr>S_BHaus_PeMatt04</vt:lpstr>
      <vt:lpstr>S_BHaus_Pt</vt:lpstr>
      <vt:lpstr>S_BHaus_Ptdp</vt:lpstr>
      <vt:lpstr>S_BHaus_Pur</vt:lpstr>
      <vt:lpstr>S_BHaus_PurLiteMatt</vt:lpstr>
      <vt:lpstr>S_BHaus_PurMatt</vt:lpstr>
      <vt:lpstr>S_BHaus_Q</vt:lpstr>
      <vt:lpstr>S_BHaus_Ql</vt:lpstr>
      <vt:lpstr>S_BHaus_QproMatt</vt:lpstr>
      <vt:lpstr>S_BHaus_Sat</vt:lpstr>
      <vt:lpstr>S_BHaus_SatMatt</vt:lpstr>
      <vt:lpstr>S_BHaus_Sf</vt:lpstr>
      <vt:lpstr>S_BHaus_Sf_a</vt:lpstr>
      <vt:lpstr>S_BHaus_StBarhat</vt:lpstr>
      <vt:lpstr>S_BHaus_Vel</vt:lpstr>
      <vt:lpstr>S_BHausNew_Atl</vt:lpstr>
      <vt:lpstr>S_BHausNew_dachPr</vt:lpstr>
      <vt:lpstr>S_BHausNew_dachPr_k</vt:lpstr>
      <vt:lpstr>S_BHausNew_dachPr_tw</vt:lpstr>
      <vt:lpstr>S_BHausNew_dachSk</vt:lpstr>
      <vt:lpstr>S_BHausNew_Dr</vt:lpstr>
      <vt:lpstr>S_BHausNew_Pe04</vt:lpstr>
      <vt:lpstr>S_BHausNew_Pe045</vt:lpstr>
      <vt:lpstr>S_BHausNew_Pe07</vt:lpstr>
      <vt:lpstr>S_BHausNew_Pe08</vt:lpstr>
      <vt:lpstr>S_BHausNew_PEdp</vt:lpstr>
      <vt:lpstr>S_BHausNew_PeMatt04</vt:lpstr>
      <vt:lpstr>S_BHausNew_Pt</vt:lpstr>
      <vt:lpstr>S_BHausNew_Ptdp</vt:lpstr>
      <vt:lpstr>S_BHausNew_PtRF</vt:lpstr>
      <vt:lpstr>S_BHausNew_Pur</vt:lpstr>
      <vt:lpstr>S_BHausNew_PurLiteMatt</vt:lpstr>
      <vt:lpstr>S_BHausNew_PurMatt</vt:lpstr>
      <vt:lpstr>S_BHausNew_Q</vt:lpstr>
      <vt:lpstr>S_BHausNew_Ql</vt:lpstr>
      <vt:lpstr>S_BHausNew_QproMatt</vt:lpstr>
      <vt:lpstr>S_BHausNew_Sat</vt:lpstr>
      <vt:lpstr>S_BHausNew_SatMatt</vt:lpstr>
      <vt:lpstr>S_BHausNew_Sf</vt:lpstr>
      <vt:lpstr>S_BHausNew_Sf_a</vt:lpstr>
      <vt:lpstr>S_BHausNew_StBarhat</vt:lpstr>
      <vt:lpstr>S_BHausNew_Vel</vt:lpstr>
      <vt:lpstr>S_EBrus_Atl</vt:lpstr>
      <vt:lpstr>S_EBrus_dachPr</vt:lpstr>
      <vt:lpstr>S_EBrus_dachPr_k</vt:lpstr>
      <vt:lpstr>S_EBrus_dachPr_tw</vt:lpstr>
      <vt:lpstr>S_EBrus_dachSk</vt:lpstr>
      <vt:lpstr>S_EBrus_Dr</vt:lpstr>
      <vt:lpstr>S_EBrus_Pe04</vt:lpstr>
      <vt:lpstr>S_EBrus_Pe045</vt:lpstr>
      <vt:lpstr>S_EBrus_Pe07</vt:lpstr>
      <vt:lpstr>S_EBrus_Pe08</vt:lpstr>
      <vt:lpstr>S_EBrus_PEdp</vt:lpstr>
      <vt:lpstr>S_EBrus_PeMatt04</vt:lpstr>
      <vt:lpstr>S_EBrus_Pt</vt:lpstr>
      <vt:lpstr>S_EBrus_Ptdp</vt:lpstr>
      <vt:lpstr>S_EBrus_PtRF</vt:lpstr>
      <vt:lpstr>S_EBrus_Pur</vt:lpstr>
      <vt:lpstr>S_EBrus_PurLiteMatt</vt:lpstr>
      <vt:lpstr>S_EBrus_PurMatt</vt:lpstr>
      <vt:lpstr>S_EBrus_Q</vt:lpstr>
      <vt:lpstr>S_EBrus_Ql</vt:lpstr>
      <vt:lpstr>S_EBrus_QproMatt</vt:lpstr>
      <vt:lpstr>S_EBrus_Sat</vt:lpstr>
      <vt:lpstr>S_EBrus_SatMatt</vt:lpstr>
      <vt:lpstr>S_EBrus_Sf</vt:lpstr>
      <vt:lpstr>S_EBrus_Sf_a</vt:lpstr>
      <vt:lpstr>S_EBrus_StBarhat</vt:lpstr>
      <vt:lpstr>S_EBrus_Vel</vt:lpstr>
      <vt:lpstr>S_KDoska_Atl</vt:lpstr>
      <vt:lpstr>S_KDoska_dachPr</vt:lpstr>
      <vt:lpstr>S_KDoska_dachPr_k</vt:lpstr>
      <vt:lpstr>S_KDoska_dachPr_tw</vt:lpstr>
      <vt:lpstr>S_KDoska_dachSk</vt:lpstr>
      <vt:lpstr>S_KDoska_Dr</vt:lpstr>
      <vt:lpstr>S_KDoska_Pe04</vt:lpstr>
      <vt:lpstr>S_KDoska_Pe045</vt:lpstr>
      <vt:lpstr>S_KDoska_Pe07</vt:lpstr>
      <vt:lpstr>S_KDoska_Pe08</vt:lpstr>
      <vt:lpstr>S_KDoska_PEdp</vt:lpstr>
      <vt:lpstr>S_KDoska_PeMatt04</vt:lpstr>
      <vt:lpstr>S_KDoska_Pt</vt:lpstr>
      <vt:lpstr>S_KDoska_Ptdp</vt:lpstr>
      <vt:lpstr>S_KDoska_PtRF</vt:lpstr>
      <vt:lpstr>S_KDoska_Pur</vt:lpstr>
      <vt:lpstr>S_KDoska_PurLiteMatt</vt:lpstr>
      <vt:lpstr>S_KDoska_PurMatt</vt:lpstr>
      <vt:lpstr>S_KDoska_Q</vt:lpstr>
      <vt:lpstr>S_KDoska_Ql</vt:lpstr>
      <vt:lpstr>S_KDoska_QproMatt</vt:lpstr>
      <vt:lpstr>S_KDoska_Sat</vt:lpstr>
      <vt:lpstr>S_KDoska_SatMatt</vt:lpstr>
      <vt:lpstr>S_KDoska_Sf</vt:lpstr>
      <vt:lpstr>S_KDoska_Sf_a</vt:lpstr>
      <vt:lpstr>S_KDoska_StBarhat</vt:lpstr>
      <vt:lpstr>S_KDoska_Vel</vt:lpstr>
      <vt:lpstr>S_Shtukaturka_Atl</vt:lpstr>
      <vt:lpstr>S_Shtukaturka_Dr</vt:lpstr>
      <vt:lpstr>S_Shtukaturka_Pe045</vt:lpstr>
      <vt:lpstr>S_Shtukaturka_PeMatt04</vt:lpstr>
      <vt:lpstr>S_Shtukaturka_Pt</vt:lpstr>
      <vt:lpstr>S_Shtukaturka_Ptdp</vt:lpstr>
      <vt:lpstr>S_Shtukaturka_Pur</vt:lpstr>
      <vt:lpstr>S_Shtukaturka_PurLiteMatt</vt:lpstr>
      <vt:lpstr>S_Shtukaturka_PurMatt</vt:lpstr>
      <vt:lpstr>S_Shtukaturka_Q</vt:lpstr>
      <vt:lpstr>S_Shtukaturka_Ql</vt:lpstr>
      <vt:lpstr>S_Shtukaturka_QproMatt</vt:lpstr>
      <vt:lpstr>S_Shtukaturka_Sat</vt:lpstr>
      <vt:lpstr>S_Shtukaturka_SatMatt</vt:lpstr>
      <vt:lpstr>S_Shtukaturka_Sf</vt:lpstr>
      <vt:lpstr>S_Shtukaturka_Sf_a</vt:lpstr>
      <vt:lpstr>S_Shtukaturka_StBarhat</vt:lpstr>
      <vt:lpstr>S_Shtukaturka_Vel</vt:lpstr>
      <vt:lpstr>S_Vertikal_Atl</vt:lpstr>
      <vt:lpstr>S_Vertikal_dachPr</vt:lpstr>
      <vt:lpstr>S_Vertikal_dachPr_k</vt:lpstr>
      <vt:lpstr>S_Vertikal_dachPr_tw</vt:lpstr>
      <vt:lpstr>S_Vertikal_dachSk</vt:lpstr>
      <vt:lpstr>S_Vertikal_Dr</vt:lpstr>
      <vt:lpstr>S_Vertikal_Pe04</vt:lpstr>
      <vt:lpstr>S_Vertikal_Pe045</vt:lpstr>
      <vt:lpstr>S_Vertikal_Pe07</vt:lpstr>
      <vt:lpstr>S_Vertikal_Pe08</vt:lpstr>
      <vt:lpstr>S_Vertikal_PEdp</vt:lpstr>
      <vt:lpstr>S_Vertikal_PeMatt04</vt:lpstr>
      <vt:lpstr>S_Vertikal_Pt</vt:lpstr>
      <vt:lpstr>S_Vertikal_Ptdp</vt:lpstr>
      <vt:lpstr>S_Vertikal_PtRF</vt:lpstr>
      <vt:lpstr>S_Vertikal_Pur</vt:lpstr>
      <vt:lpstr>S_Vertikal_PurLiteMatt</vt:lpstr>
      <vt:lpstr>S_Vertikal_PurMatt</vt:lpstr>
      <vt:lpstr>S_Vertikal_Q</vt:lpstr>
      <vt:lpstr>S_Vertikal_Ql</vt:lpstr>
      <vt:lpstr>S_Vertikal_QproMatt</vt:lpstr>
      <vt:lpstr>S_Vertikal_Sat</vt:lpstr>
      <vt:lpstr>S_Vertikal_SatMatt</vt:lpstr>
      <vt:lpstr>S_Vertikal_Sf</vt:lpstr>
      <vt:lpstr>S_Vertikal_Sf_a</vt:lpstr>
      <vt:lpstr>S_Vertikal_StBarhat</vt:lpstr>
      <vt:lpstr>S_Vertikal_Vel</vt:lpstr>
      <vt:lpstr>Shtaket_Kr_Atl</vt:lpstr>
      <vt:lpstr>Shtaket_Kr_dachPr</vt:lpstr>
      <vt:lpstr>Shtaket_Kr_dachPr_k</vt:lpstr>
      <vt:lpstr>Shtaket_Kr_dachPr_tw</vt:lpstr>
      <vt:lpstr>Shtaket_Kr_dachSk</vt:lpstr>
      <vt:lpstr>Shtaket_Kr_Dr</vt:lpstr>
      <vt:lpstr>Shtaket_Kr_Pe04</vt:lpstr>
      <vt:lpstr>Shtaket_Kr_Pe045</vt:lpstr>
      <vt:lpstr>Shtaket_Kr_Pe07</vt:lpstr>
      <vt:lpstr>Shtaket_Kr_Pe08</vt:lpstr>
      <vt:lpstr>Shtaket_Kr_PEdp</vt:lpstr>
      <vt:lpstr>Shtaket_Kr_PeMatt04</vt:lpstr>
      <vt:lpstr>Shtaket_Kr_Pt</vt:lpstr>
      <vt:lpstr>Shtaket_Kr_Ptdp</vt:lpstr>
      <vt:lpstr>Shtaket_Kr_Pur</vt:lpstr>
      <vt:lpstr>Shtaket_Kr_PurLiteMatt</vt:lpstr>
      <vt:lpstr>Shtaket_Kr_PurMatt</vt:lpstr>
      <vt:lpstr>Shtaket_Kr_Q</vt:lpstr>
      <vt:lpstr>Shtaket_Kr_Ql</vt:lpstr>
      <vt:lpstr>Shtaket_Kr_QproMatt</vt:lpstr>
      <vt:lpstr>Shtaket_Kr_Sat</vt:lpstr>
      <vt:lpstr>Shtaket_Kr_SatMatt</vt:lpstr>
      <vt:lpstr>Shtaket_Kr_Sf</vt:lpstr>
      <vt:lpstr>Shtaket_Kr_Sf_a</vt:lpstr>
      <vt:lpstr>Shtaket_Kr_StBarhat</vt:lpstr>
      <vt:lpstr>Shtaket_Kr_Vel</vt:lpstr>
      <vt:lpstr>Shtaket_Krf_Atl</vt:lpstr>
      <vt:lpstr>Shtaket_Krf_dachPr</vt:lpstr>
      <vt:lpstr>Shtaket_Krf_dachPr_k</vt:lpstr>
      <vt:lpstr>Shtaket_Krf_dachPr_tw</vt:lpstr>
      <vt:lpstr>Shtaket_Krf_dachSk</vt:lpstr>
      <vt:lpstr>Shtaket_Krf_Dr</vt:lpstr>
      <vt:lpstr>Shtaket_Krf_Pe04</vt:lpstr>
      <vt:lpstr>Shtaket_Krf_Pe045</vt:lpstr>
      <vt:lpstr>Shtaket_Krf_Pe07</vt:lpstr>
      <vt:lpstr>Shtaket_Krf_Pe08</vt:lpstr>
      <vt:lpstr>Shtaket_Krf_PEdp</vt:lpstr>
      <vt:lpstr>Shtaket_Krf_PeMatt04</vt:lpstr>
      <vt:lpstr>Shtaket_Krf_Pt</vt:lpstr>
      <vt:lpstr>Shtaket_Krf_Ptdp</vt:lpstr>
      <vt:lpstr>Shtaket_Krf_Pur</vt:lpstr>
      <vt:lpstr>Shtaket_Krf_PurLiteMatt</vt:lpstr>
      <vt:lpstr>Shtaket_Krf_PurMatt</vt:lpstr>
      <vt:lpstr>Shtaket_Krf_Q</vt:lpstr>
      <vt:lpstr>Shtaket_Krf_Ql</vt:lpstr>
      <vt:lpstr>Shtaket_Krf_Qpro</vt:lpstr>
      <vt:lpstr>Shtaket_Krf_QproMatt</vt:lpstr>
      <vt:lpstr>Shtaket_Krf_Sat</vt:lpstr>
      <vt:lpstr>Shtaket_Krf_SatMatt</vt:lpstr>
      <vt:lpstr>Shtaket_Krf_Sf</vt:lpstr>
      <vt:lpstr>Shtaket_Krf_Sf_a</vt:lpstr>
      <vt:lpstr>Shtaket_Krf_StBarhat</vt:lpstr>
      <vt:lpstr>Shtaket_Krf_Vel</vt:lpstr>
      <vt:lpstr>Shtaket_MP_Atl</vt:lpstr>
      <vt:lpstr>Shtaket_MP_dachPr</vt:lpstr>
      <vt:lpstr>Shtaket_MP_dachPr_k</vt:lpstr>
      <vt:lpstr>Shtaket_MP_dachPr_tw</vt:lpstr>
      <vt:lpstr>Shtaket_MP_dachSk</vt:lpstr>
      <vt:lpstr>Shtaket_MP_Dr</vt:lpstr>
      <vt:lpstr>Shtaket_MP_Pe04</vt:lpstr>
      <vt:lpstr>Shtaket_MP_Pe045</vt:lpstr>
      <vt:lpstr>Shtaket_MP_Pe07</vt:lpstr>
      <vt:lpstr>Shtaket_MP_Pe08</vt:lpstr>
      <vt:lpstr>Shtaket_MP_PEdp</vt:lpstr>
      <vt:lpstr>Shtaket_MP_PeMatt04</vt:lpstr>
      <vt:lpstr>Shtaket_MP_Pt</vt:lpstr>
      <vt:lpstr>Shtaket_MP_Ptdp</vt:lpstr>
      <vt:lpstr>Shtaket_MP_PtRF</vt:lpstr>
      <vt:lpstr>Shtaket_MP_Pur</vt:lpstr>
      <vt:lpstr>Shtaket_MP_PurLiteMatt</vt:lpstr>
      <vt:lpstr>Shtaket_MP_PurMatt</vt:lpstr>
      <vt:lpstr>Shtaket_MP_Q</vt:lpstr>
      <vt:lpstr>Shtaket_MP_Ql</vt:lpstr>
      <vt:lpstr>Shtaket_MP_QproMatt</vt:lpstr>
      <vt:lpstr>Shtaket_MP_Sat</vt:lpstr>
      <vt:lpstr>Shtaket_MP_SatMatt</vt:lpstr>
      <vt:lpstr>Shtaket_MP_Sf</vt:lpstr>
      <vt:lpstr>Shtaket_MP_Sf_a</vt:lpstr>
      <vt:lpstr>Shtaket_MP_StBarhat</vt:lpstr>
      <vt:lpstr>Shtaket_MP_Vel</vt:lpstr>
      <vt:lpstr>Shtaket_MPf_Atl</vt:lpstr>
      <vt:lpstr>Shtaket_MPf_dachPr</vt:lpstr>
      <vt:lpstr>Shtaket_MPf_dachPr_k</vt:lpstr>
      <vt:lpstr>Shtaket_MPf_dachPr_tw</vt:lpstr>
      <vt:lpstr>Shtaket_MPf_dachSk</vt:lpstr>
      <vt:lpstr>Shtaket_MPf_Dr</vt:lpstr>
      <vt:lpstr>Shtaket_MPf_Pe04</vt:lpstr>
      <vt:lpstr>Shtaket_MPf_Pe045</vt:lpstr>
      <vt:lpstr>Shtaket_MPf_Pe07</vt:lpstr>
      <vt:lpstr>Shtaket_MPf_Pe08</vt:lpstr>
      <vt:lpstr>Shtaket_MPf_PEdp</vt:lpstr>
      <vt:lpstr>Shtaket_MPf_PeMatt04</vt:lpstr>
      <vt:lpstr>Shtaket_MPf_Pt</vt:lpstr>
      <vt:lpstr>Shtaket_MPf_Ptdp</vt:lpstr>
      <vt:lpstr>Shtaket_MPf_PtRF</vt:lpstr>
      <vt:lpstr>Shtaket_MPf_Pur</vt:lpstr>
      <vt:lpstr>Shtaket_MPf_PurLiteMatt</vt:lpstr>
      <vt:lpstr>Shtaket_MPf_PurMatt</vt:lpstr>
      <vt:lpstr>Shtaket_MPf_Q</vt:lpstr>
      <vt:lpstr>Shtaket_MPf_Ql</vt:lpstr>
      <vt:lpstr>Shtaket_MPf_QproMatt</vt:lpstr>
      <vt:lpstr>Shtaket_MPf_Sat</vt:lpstr>
      <vt:lpstr>Shtaket_MPf_SatMatt</vt:lpstr>
      <vt:lpstr>Shtaket_MPf_Sf</vt:lpstr>
      <vt:lpstr>Shtaket_MPf_Sf_a</vt:lpstr>
      <vt:lpstr>Shtaket_MPf_StBarhat</vt:lpstr>
      <vt:lpstr>Shtaket_MPf_Vel</vt:lpstr>
      <vt:lpstr>Shtaket_Pk_Atl</vt:lpstr>
      <vt:lpstr>Shtaket_Pk_dachPr</vt:lpstr>
      <vt:lpstr>Shtaket_Pk_dachPr_k</vt:lpstr>
      <vt:lpstr>Shtaket_Pk_dachPr_tw</vt:lpstr>
      <vt:lpstr>Shtaket_Pk_dachSk</vt:lpstr>
      <vt:lpstr>Shtaket_Pk_Dr</vt:lpstr>
      <vt:lpstr>Shtaket_Pk_Pe04</vt:lpstr>
      <vt:lpstr>Shtaket_Pk_Pe045</vt:lpstr>
      <vt:lpstr>Shtaket_Pk_Pe07</vt:lpstr>
      <vt:lpstr>Shtaket_Pk_Pe08</vt:lpstr>
      <vt:lpstr>Shtaket_Pk_PEdp</vt:lpstr>
      <vt:lpstr>Shtaket_Pk_PeMatt04</vt:lpstr>
      <vt:lpstr>Shtaket_Pk_Pt</vt:lpstr>
      <vt:lpstr>Shtaket_Pk_Ptdp</vt:lpstr>
      <vt:lpstr>Shtaket_Pk_PtRF</vt:lpstr>
      <vt:lpstr>Shtaket_Pk_Pur</vt:lpstr>
      <vt:lpstr>Shtaket_Pk_PurLiteMatt</vt:lpstr>
      <vt:lpstr>Shtaket_Pk_PurMatt</vt:lpstr>
      <vt:lpstr>Shtaket_Pk_Q</vt:lpstr>
      <vt:lpstr>Shtaket_Pk_Ql</vt:lpstr>
      <vt:lpstr>Shtaket_Pk_QproMatt</vt:lpstr>
      <vt:lpstr>Shtaket_Pk_Sat</vt:lpstr>
      <vt:lpstr>Shtaket_Pk_SatMatt</vt:lpstr>
      <vt:lpstr>Shtaket_Pk_Sf</vt:lpstr>
      <vt:lpstr>Shtaket_Pk_Sf_a</vt:lpstr>
      <vt:lpstr>Shtaket_Pk_StBarhat</vt:lpstr>
      <vt:lpstr>Shtaket_Pk_Vel</vt:lpstr>
      <vt:lpstr>Shtaket_Pkf_Atl</vt:lpstr>
      <vt:lpstr>Shtaket_Pkf_dachPr</vt:lpstr>
      <vt:lpstr>Shtaket_Pkf_dachPr_k</vt:lpstr>
      <vt:lpstr>Shtaket_Pkf_dachPr_tw</vt:lpstr>
      <vt:lpstr>Shtaket_Pkf_dachSk</vt:lpstr>
      <vt:lpstr>Shtaket_Pkf_Dr</vt:lpstr>
      <vt:lpstr>Shtaket_Pkf_Pe04</vt:lpstr>
      <vt:lpstr>Shtaket_Pkf_Pe045</vt:lpstr>
      <vt:lpstr>Shtaket_Pkf_Pe07</vt:lpstr>
      <vt:lpstr>Shtaket_Pkf_Pe08</vt:lpstr>
      <vt:lpstr>Shtaket_Pkf_PEdp</vt:lpstr>
      <vt:lpstr>Shtaket_Pkf_PeMatt04</vt:lpstr>
      <vt:lpstr>Shtaket_Pkf_Pt</vt:lpstr>
      <vt:lpstr>Shtaket_Pkf_Ptdp</vt:lpstr>
      <vt:lpstr>Shtaket_Pkf_PtRF</vt:lpstr>
      <vt:lpstr>Shtaket_Pkf_Pur</vt:lpstr>
      <vt:lpstr>Shtaket_Pkf_PurLiteMatt</vt:lpstr>
      <vt:lpstr>Shtaket_Pkf_PurMatt</vt:lpstr>
      <vt:lpstr>Shtaket_Pkf_Q</vt:lpstr>
      <vt:lpstr>Shtaket_Pkf_Ql</vt:lpstr>
      <vt:lpstr>Shtaket_Pkf_QproMatt</vt:lpstr>
      <vt:lpstr>Shtaket_Pkf_Sat</vt:lpstr>
      <vt:lpstr>Shtaket_Pkf_SatMatt</vt:lpstr>
      <vt:lpstr>Shtaket_Pkf_Sf</vt:lpstr>
      <vt:lpstr>Shtaket_Pkf_Sf_a</vt:lpstr>
      <vt:lpstr>Shtaket_Pkf_StBarhat</vt:lpstr>
      <vt:lpstr>Shtaket_Pkf_Vel</vt:lpstr>
      <vt:lpstr>Shtaket_Pr_Atl</vt:lpstr>
      <vt:lpstr>Shtaket_Pr_dachPr</vt:lpstr>
      <vt:lpstr>Shtaket_Pr_dachPr_k</vt:lpstr>
      <vt:lpstr>Shtaket_Pr_dachPr_tw</vt:lpstr>
      <vt:lpstr>Shtaket_Pr_dachSk</vt:lpstr>
      <vt:lpstr>Shtaket_Pr_Dr</vt:lpstr>
      <vt:lpstr>Shtaket_Pr_Pe04</vt:lpstr>
      <vt:lpstr>Shtaket_Pr_Pe045</vt:lpstr>
      <vt:lpstr>Shtaket_Pr_Pe07</vt:lpstr>
      <vt:lpstr>Shtaket_Pr_Pe08</vt:lpstr>
      <vt:lpstr>Shtaket_Pr_PEdp</vt:lpstr>
      <vt:lpstr>Shtaket_Pr_PeMatt04</vt:lpstr>
      <vt:lpstr>Shtaket_Pr_Pt</vt:lpstr>
      <vt:lpstr>Shtaket_Pr_Ptdp</vt:lpstr>
      <vt:lpstr>Shtaket_Pr_Pur</vt:lpstr>
      <vt:lpstr>Shtaket_Pr_PurLiteMatt</vt:lpstr>
      <vt:lpstr>Shtaket_Pr_PurMatt</vt:lpstr>
      <vt:lpstr>Shtaket_Pr_Q</vt:lpstr>
      <vt:lpstr>Shtaket_Pr_Ql</vt:lpstr>
      <vt:lpstr>Shtaket_Pr_Qpro</vt:lpstr>
      <vt:lpstr>Shtaket_Pr_QproMatt</vt:lpstr>
      <vt:lpstr>Shtaket_Pr_Sat</vt:lpstr>
      <vt:lpstr>Shtaket_Pr_SatMatt</vt:lpstr>
      <vt:lpstr>Shtaket_Pr_Sf</vt:lpstr>
      <vt:lpstr>Shtaket_Pr_Sf_a</vt:lpstr>
      <vt:lpstr>Shtaket_Pr_StBarhat</vt:lpstr>
      <vt:lpstr>Shtaket_Pr_Vel</vt:lpstr>
      <vt:lpstr>Shtaket_Prf_Atl</vt:lpstr>
      <vt:lpstr>Shtaket_Prf_dachPr</vt:lpstr>
      <vt:lpstr>Shtaket_Prf_dachPr_k</vt:lpstr>
      <vt:lpstr>Shtaket_Prf_dachPr_tw</vt:lpstr>
      <vt:lpstr>Shtaket_Prf_dachSk</vt:lpstr>
      <vt:lpstr>Shtaket_Prf_Dr</vt:lpstr>
      <vt:lpstr>Shtaket_Prf_Pe04</vt:lpstr>
      <vt:lpstr>Shtaket_Prf_Pe045</vt:lpstr>
      <vt:lpstr>Shtaket_Prf_Pe07</vt:lpstr>
      <vt:lpstr>Shtaket_Prf_Pe08</vt:lpstr>
      <vt:lpstr>Shtaket_Prf_PEdp</vt:lpstr>
      <vt:lpstr>Shtaket_Prf_PeMatt04</vt:lpstr>
      <vt:lpstr>Shtaket_Prf_Pt</vt:lpstr>
      <vt:lpstr>Shtaket_Prf_Ptdp</vt:lpstr>
      <vt:lpstr>Shtaket_Prf_Pur</vt:lpstr>
      <vt:lpstr>Shtaket_Prf_PurLiteMatt</vt:lpstr>
      <vt:lpstr>Shtaket_Prf_PurMatt</vt:lpstr>
      <vt:lpstr>Shtaket_Prf_Q</vt:lpstr>
      <vt:lpstr>Shtaket_Prf_Ql</vt:lpstr>
      <vt:lpstr>Shtaket_Prf_QproMatt</vt:lpstr>
      <vt:lpstr>Shtaket_Prf_Sat</vt:lpstr>
      <vt:lpstr>Shtaket_Prf_SatMatt</vt:lpstr>
      <vt:lpstr>Shtaket_Prf_Sf</vt:lpstr>
      <vt:lpstr>Shtaket_Prf_Sf_a</vt:lpstr>
      <vt:lpstr>Shtaket_Prf_StBarhat</vt:lpstr>
      <vt:lpstr>Shtaket_Prf_Vel</vt:lpstr>
      <vt:lpstr>Shtaket_Tw_Atl</vt:lpstr>
      <vt:lpstr>Shtaket_Tw_dachPr</vt:lpstr>
      <vt:lpstr>Shtaket_Tw_dachPr_k</vt:lpstr>
      <vt:lpstr>Shtaket_Tw_dachPr_tw</vt:lpstr>
      <vt:lpstr>Shtaket_Tw_dachSk</vt:lpstr>
      <vt:lpstr>Shtaket_Tw_Dr</vt:lpstr>
      <vt:lpstr>Shtaket_Tw_Pe04</vt:lpstr>
      <vt:lpstr>Shtaket_Tw_Pe045</vt:lpstr>
      <vt:lpstr>Shtaket_Tw_Pe07</vt:lpstr>
      <vt:lpstr>Shtaket_Tw_Pe08</vt:lpstr>
      <vt:lpstr>Shtaket_Tw_PEdp</vt:lpstr>
      <vt:lpstr>Shtaket_Tw_PeMatt04</vt:lpstr>
      <vt:lpstr>Shtaket_Tw_Pt</vt:lpstr>
      <vt:lpstr>Shtaket_Tw_Ptdp</vt:lpstr>
      <vt:lpstr>Shtaket_Tw_PtRF</vt:lpstr>
      <vt:lpstr>Shtaket_Tw_Pur</vt:lpstr>
      <vt:lpstr>Shtaket_Tw_PurLiteMatt</vt:lpstr>
      <vt:lpstr>Shtaket_Tw_PurMatt</vt:lpstr>
      <vt:lpstr>Shtaket_Tw_Q</vt:lpstr>
      <vt:lpstr>Shtaket_Tw_Ql</vt:lpstr>
      <vt:lpstr>Shtaket_Tw_QproMatt</vt:lpstr>
      <vt:lpstr>Shtaket_Tw_Sat</vt:lpstr>
      <vt:lpstr>Shtaket_Tw_SatMatt</vt:lpstr>
      <vt:lpstr>Shtaket_Tw_Sf</vt:lpstr>
      <vt:lpstr>Shtaket_Tw_Sf_a</vt:lpstr>
      <vt:lpstr>Shtaket_Tw_StBarhat</vt:lpstr>
      <vt:lpstr>Shtaket_Tw_Vel</vt:lpstr>
      <vt:lpstr>Shtaket_Twf_Atl</vt:lpstr>
      <vt:lpstr>Shtaket_Twf_dachPr</vt:lpstr>
      <vt:lpstr>Shtaket_Twf_dachPr_k</vt:lpstr>
      <vt:lpstr>Shtaket_Twf_dachPr_tw</vt:lpstr>
      <vt:lpstr>Shtaket_Twf_dachSk</vt:lpstr>
      <vt:lpstr>Shtaket_Twf_Dr</vt:lpstr>
      <vt:lpstr>Shtaket_Twf_Pe04</vt:lpstr>
      <vt:lpstr>Shtaket_Twf_Pe045</vt:lpstr>
      <vt:lpstr>Shtaket_Twf_Pe07</vt:lpstr>
      <vt:lpstr>Shtaket_Twf_Pe08</vt:lpstr>
      <vt:lpstr>Shtaket_Twf_PEdp</vt:lpstr>
      <vt:lpstr>Shtaket_Twf_PeMatt04</vt:lpstr>
      <vt:lpstr>Shtaket_Twf_Pt</vt:lpstr>
      <vt:lpstr>Shtaket_Twf_Ptdp</vt:lpstr>
      <vt:lpstr>Shtaket_Twf_PtRF</vt:lpstr>
      <vt:lpstr>Shtaket_Twf_Pur</vt:lpstr>
      <vt:lpstr>Shtaket_Twf_PurLiteMatt</vt:lpstr>
      <vt:lpstr>Shtaket_Twf_PurMatt</vt:lpstr>
      <vt:lpstr>Shtaket_Twf_Q</vt:lpstr>
      <vt:lpstr>Shtaket_Twf_Ql</vt:lpstr>
      <vt:lpstr>Shtaket_Twf_QproMatt</vt:lpstr>
      <vt:lpstr>Shtaket_Twf_Sat</vt:lpstr>
      <vt:lpstr>Shtaket_Twf_SatMatt</vt:lpstr>
      <vt:lpstr>Shtaket_Twf_Sf</vt:lpstr>
      <vt:lpstr>Shtaket_Twf_Sf_a</vt:lpstr>
      <vt:lpstr>Shtaket_Twf_StBarhat</vt:lpstr>
      <vt:lpstr>Shtaket_Twf_Vel</vt:lpstr>
      <vt:lpstr>ShtripsFalz_Atl</vt:lpstr>
      <vt:lpstr>ShtripsFalz_dachPr</vt:lpstr>
      <vt:lpstr>ShtripsFalz_dachPr_k</vt:lpstr>
      <vt:lpstr>ShtripsFalz_dachPr_tw</vt:lpstr>
      <vt:lpstr>ShtripsFalz_dachSk</vt:lpstr>
      <vt:lpstr>ShtripsFalz_Dr</vt:lpstr>
      <vt:lpstr>ShtripsFalz_Pe04</vt:lpstr>
      <vt:lpstr>ShtripsFalz_Pe045</vt:lpstr>
      <vt:lpstr>ShtripsFalz_Pe07</vt:lpstr>
      <vt:lpstr>ShtripsFalz_Pe08</vt:lpstr>
      <vt:lpstr>ShtripsFalz_PEdp</vt:lpstr>
      <vt:lpstr>ShtripsFalz_PeMatt04</vt:lpstr>
      <vt:lpstr>ShtripsFalz_Pt</vt:lpstr>
      <vt:lpstr>ShtripsFalz_Ptdp</vt:lpstr>
      <vt:lpstr>ShtripsFalz_PtRF</vt:lpstr>
      <vt:lpstr>ShtripsFalz_Pur</vt:lpstr>
      <vt:lpstr>ShtripsFalz_PurLiteMatt</vt:lpstr>
      <vt:lpstr>ShtripsFalz_PurMatt</vt:lpstr>
      <vt:lpstr>ShtripsFalz_Q</vt:lpstr>
      <vt:lpstr>ShtripsFalz_Ql</vt:lpstr>
      <vt:lpstr>ShtripsFalz_QproMatt</vt:lpstr>
      <vt:lpstr>ShtripsFalz_Sat</vt:lpstr>
      <vt:lpstr>ShtripsFalz_SatMatt</vt:lpstr>
      <vt:lpstr>ShtripsFalz_Sf</vt:lpstr>
      <vt:lpstr>ShtripsFalz_Sf_a</vt:lpstr>
      <vt:lpstr>ShtripsFalz_StBarhat</vt:lpstr>
      <vt:lpstr>ShtripsFalz_Vel</vt:lpstr>
      <vt:lpstr>ShtripsFalz_Zn035</vt:lpstr>
      <vt:lpstr>ShtripsFalz_Zn04</vt:lpstr>
      <vt:lpstr>ShtripsFalz_Zn045</vt:lpstr>
      <vt:lpstr>ShtripsFalz_Zn05</vt:lpstr>
      <vt:lpstr>ShtripsFalz_Zn055</vt:lpstr>
      <vt:lpstr>ShtripsFalz_Zn07</vt:lpstr>
      <vt:lpstr>ShtripsFalz_Zn08</vt:lpstr>
      <vt:lpstr>ShtripsFalz_Zn09</vt:lpstr>
      <vt:lpstr>Sofit_Atl</vt:lpstr>
      <vt:lpstr>Sofit_dachPr</vt:lpstr>
      <vt:lpstr>Sofit_dachPr_k</vt:lpstr>
      <vt:lpstr>Sofit_dachPr_tw</vt:lpstr>
      <vt:lpstr>Sofit_dachSk</vt:lpstr>
      <vt:lpstr>Sofit_Dr</vt:lpstr>
      <vt:lpstr>Sofit_Pe04</vt:lpstr>
      <vt:lpstr>Sofit_Pe045</vt:lpstr>
      <vt:lpstr>Sofit_Pe07</vt:lpstr>
      <vt:lpstr>Sofit_Pe08</vt:lpstr>
      <vt:lpstr>Sofit_PEdp</vt:lpstr>
      <vt:lpstr>Sofit_PeMatt04</vt:lpstr>
      <vt:lpstr>Sofit_Pt</vt:lpstr>
      <vt:lpstr>Sofit_Ptdp</vt:lpstr>
      <vt:lpstr>Sofit_PtRF</vt:lpstr>
      <vt:lpstr>Sofit_Pur</vt:lpstr>
      <vt:lpstr>Sofit_PurLiteMatt</vt:lpstr>
      <vt:lpstr>Sofit_PurMatt</vt:lpstr>
      <vt:lpstr>Sofit_Q</vt:lpstr>
      <vt:lpstr>Sofit_Ql</vt:lpstr>
      <vt:lpstr>Sofit_QproMatt</vt:lpstr>
      <vt:lpstr>Sofit_Sat</vt:lpstr>
      <vt:lpstr>Sofit_SatMatt</vt:lpstr>
      <vt:lpstr>Sofit_Sf</vt:lpstr>
      <vt:lpstr>Sofit_Sf_a</vt:lpstr>
      <vt:lpstr>Sofit_StBarhat</vt:lpstr>
      <vt:lpstr>Sofit_Vel</vt:lpstr>
      <vt:lpstr>'5_1_ЗАБОРЫ'!Область_печати</vt:lpstr>
      <vt:lpstr>'5_2_Доборные эл-ты ограждений'!Область_печати</vt:lpstr>
      <vt:lpstr>'5_3_Панельные ограждения'!Область_печати</vt:lpstr>
      <vt:lpstr>'5_4_Эл-ты панельных ограждений'!Область_печати</vt:lpstr>
      <vt:lpstr>'5_5_Модульные ограждения GL'!Область_печати</vt:lpstr>
      <vt:lpstr>'5_6_Временные огр и Рулон сетка'!Область_печати</vt:lpstr>
      <vt:lpstr>'5_7_Откат. ворота'!Область_печати</vt:lpstr>
      <vt:lpstr>'5_8_Распашные ворота и калитки'!Область_печати</vt:lpstr>
      <vt:lpstr>'5_9_Эл-ты ограждений Locinox'!Область_печати</vt:lpstr>
      <vt:lpstr>'7_3_Таблички и Флюгеры'!Область_печати</vt:lpstr>
      <vt:lpstr>'8_УПАКОВКА'!Область_печати</vt:lpstr>
      <vt:lpstr>'АКЦИИ на металл'!Область_печати</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oudovenko</dc:creator>
  <cp:lastModifiedBy>Кровля</cp:lastModifiedBy>
  <cp:lastPrinted>2020-04-04T09:23:51Z</cp:lastPrinted>
  <dcterms:created xsi:type="dcterms:W3CDTF">2018-02-15T08:40:24Z</dcterms:created>
  <dcterms:modified xsi:type="dcterms:W3CDTF">2020-04-04T09:48:11Z</dcterms:modified>
</cp:coreProperties>
</file>